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D:\VVG_KAIMO KVIETIMAI 2024-2029 M\KVIETIMAI 2024 M\KVIETIMAI 2024 M\Kvietimas SP-23_Soc_verslas\Kvietimas Nr. SP-JONA-LEADER-06-23\"/>
    </mc:Choice>
  </mc:AlternateContent>
  <xr:revisionPtr revIDLastSave="0" documentId="13_ncr:1_{36371731-0CDD-4FDD-81C9-CCCB7641C5D7}" xr6:coauthVersionLast="47" xr6:coauthVersionMax="47" xr10:uidLastSave="{00000000-0000-0000-0000-000000000000}"/>
  <workbookProtection workbookAlgorithmName="SHA-512" workbookHashValue="oFzTX334JWBjNMALPGpAhMa4FgRLOZqaZmwl9VdcRpcax4AKMgu1rMRajlIKhVWZ5H9MNuG4B0OpHCS4nAD3sA==" workbookSaltValue="zRNiqKtySQN8igypiZVz4w==" workbookSpinCount="100000" lockStructure="1"/>
  <bookViews>
    <workbookView xWindow="-108" yWindow="-108" windowWidth="23256" windowHeight="12576" firstSheet="3" activeTab="3"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_nvo" sheetId="32" r:id="rId14"/>
    <sheet name="9.2_nvo" sheetId="33" r:id="rId15"/>
    <sheet name="9.3_nvo" sheetId="34" r:id="rId16"/>
    <sheet name="10_nvo" sheetId="36" r:id="rId17"/>
  </sheets>
  <definedNames>
    <definedName name="Meniu_ParamosIšmokėjimoBūdai" localSheetId="16">ParamosIšmokėjimoBūdai[Meniu_Būdas]</definedName>
    <definedName name="Meniu_ParamosIšmokėjimoBūdai" localSheetId="13">ParamosIšmokėjimoBūdai[Meniu_Būdas]</definedName>
    <definedName name="Meniu_ParamosIšmokėjimoBūdai" localSheetId="14">ParamosIšmokėjimoBūdai[Meniu_Būdas]</definedName>
    <definedName name="Meniu_ParamosIšmokėjimoBūdai" localSheetId="15">ParamosIšmokėjimoBūdai[Meniu_Būdas]</definedName>
    <definedName name="Meniu_ParamosIšmokėjimoBūdai">ParamosIšmokėjimoBūdai[Meniu_Būdas]</definedName>
    <definedName name="Meniu_TaipNe">TaipNe[Taip ar Ne]</definedName>
    <definedName name="part_3ee8e7ec16b44afe8777e3f1b27ce2d7" localSheetId="14">'9.2_nvo'!#REF!</definedName>
    <definedName name="part_528a181f99fa4dce91e9a4c6ed18ec6e" localSheetId="14">'9.2_nvo'!#REF!</definedName>
    <definedName name="part_b214239539ab4bb4a5177b487c86b6a8" localSheetId="14">'9.2_nvo'!#REF!</definedName>
    <definedName name="_xlnm.Print_Area" localSheetId="6">'1'!$A$1:$E$25</definedName>
    <definedName name="_xlnm.Print_Area" localSheetId="16">'10_nvo'!$A$1:$L$14</definedName>
    <definedName name="_xlnm.Print_Area" localSheetId="7">'2-3'!$A$1:$K$30</definedName>
    <definedName name="_xlnm.Print_Area" localSheetId="8">'4'!$A$1:$L$86</definedName>
    <definedName name="_xlnm.Print_Area" localSheetId="9">'5'!$A$1:$E$15,'5'!$A$17:$F$89</definedName>
    <definedName name="_xlnm.Print_Area" localSheetId="10">'6'!$B$1:$L$69</definedName>
    <definedName name="_xlnm.Print_Area" localSheetId="11">'7'!$A$1:$K$32</definedName>
    <definedName name="_xlnm.Print_Area" localSheetId="12">'8'!$B$1:$P$11,'8'!$B$13:$L$35</definedName>
    <definedName name="_xlnm.Print_Area" localSheetId="13">'9.1_nvo'!$B$1:$L$61</definedName>
    <definedName name="_xlnm.Print_Area" localSheetId="14">'9.2_nvo'!$B$1:$L$36</definedName>
    <definedName name="_xlnm.Print_Area" localSheetId="15">'9.3_nvo'!$B$1:$L$49</definedName>
    <definedName name="_xlnm.Print_Area" localSheetId="3">Parametrai!$B$1:$C$32</definedName>
    <definedName name="_xlnm.Print_Area" localSheetId="5">Pastabos!$B$2:$B$12</definedName>
    <definedName name="_xlnm.Print_Area" localSheetId="4">TURINYS!$B$1:$D$17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5" i="32" l="1"/>
  <c r="F45" i="32" s="1"/>
  <c r="G45" i="32" s="1"/>
  <c r="H45" i="32" s="1"/>
  <c r="I45" i="32" s="1"/>
  <c r="J45" i="32" s="1"/>
  <c r="K45" i="32" s="1"/>
  <c r="L45" i="32" s="1"/>
  <c r="G40" i="34"/>
  <c r="F40" i="34"/>
  <c r="H40" i="34"/>
  <c r="I40" i="34"/>
  <c r="J40" i="34"/>
  <c r="K40" i="34"/>
  <c r="L40" i="34"/>
  <c r="F36" i="32" l="1"/>
  <c r="G36" i="32"/>
  <c r="H36" i="32" s="1"/>
  <c r="I36" i="32" s="1"/>
  <c r="J36" i="32" s="1"/>
  <c r="K36" i="32" s="1"/>
  <c r="L36" i="32" s="1"/>
  <c r="E37" i="32"/>
  <c r="E9" i="32"/>
  <c r="E11" i="32"/>
  <c r="E12" i="32"/>
  <c r="E13" i="32"/>
  <c r="E14" i="32"/>
  <c r="E15" i="32"/>
  <c r="E10" i="32" s="1"/>
  <c r="E8" i="32" s="1"/>
  <c r="E21" i="32"/>
  <c r="E25" i="32"/>
  <c r="E36" i="32"/>
  <c r="F38" i="34"/>
  <c r="G38" i="34"/>
  <c r="H38" i="34"/>
  <c r="I38" i="34"/>
  <c r="J38" i="34"/>
  <c r="K38" i="34"/>
  <c r="L38" i="34"/>
  <c r="F37" i="34"/>
  <c r="G37" i="34"/>
  <c r="H37" i="34"/>
  <c r="I37" i="34"/>
  <c r="J37" i="34"/>
  <c r="K37" i="34"/>
  <c r="L37" i="34"/>
  <c r="F36" i="34"/>
  <c r="G36" i="34"/>
  <c r="H36" i="34"/>
  <c r="I36" i="34"/>
  <c r="J36" i="34"/>
  <c r="K36" i="34"/>
  <c r="L36" i="34"/>
  <c r="F35" i="34"/>
  <c r="G35" i="34"/>
  <c r="H35" i="34"/>
  <c r="I35" i="34"/>
  <c r="J35" i="34"/>
  <c r="K35" i="34"/>
  <c r="L35" i="34"/>
  <c r="F34" i="34"/>
  <c r="G34" i="34"/>
  <c r="H34" i="34"/>
  <c r="I34" i="34"/>
  <c r="J34" i="34"/>
  <c r="K34" i="34"/>
  <c r="L34" i="34"/>
  <c r="F31" i="34"/>
  <c r="G31" i="34"/>
  <c r="H31" i="34"/>
  <c r="I31" i="34"/>
  <c r="J31" i="34"/>
  <c r="K31" i="34"/>
  <c r="L31" i="34"/>
  <c r="F30" i="34"/>
  <c r="G30" i="34"/>
  <c r="H30" i="34"/>
  <c r="I30" i="34"/>
  <c r="J30" i="34"/>
  <c r="K30" i="34"/>
  <c r="L30" i="34"/>
  <c r="F22" i="34"/>
  <c r="G22" i="34"/>
  <c r="H22" i="34"/>
  <c r="I22" i="34"/>
  <c r="J22" i="34"/>
  <c r="K22" i="34"/>
  <c r="L22" i="34"/>
  <c r="F21" i="34"/>
  <c r="G21" i="34"/>
  <c r="H21" i="34"/>
  <c r="I21" i="34"/>
  <c r="J21" i="34"/>
  <c r="K21" i="34"/>
  <c r="L21" i="34"/>
  <c r="F20" i="34"/>
  <c r="G20" i="34"/>
  <c r="H20" i="34"/>
  <c r="I20" i="34"/>
  <c r="J20" i="34"/>
  <c r="K20" i="34"/>
  <c r="L20" i="34"/>
  <c r="F19" i="34"/>
  <c r="G19" i="34"/>
  <c r="H19" i="34"/>
  <c r="I19" i="34"/>
  <c r="J19" i="34"/>
  <c r="K19" i="34"/>
  <c r="L19" i="34"/>
  <c r="G18" i="34"/>
  <c r="H18" i="34"/>
  <c r="I18" i="34"/>
  <c r="J18" i="34"/>
  <c r="K18" i="34"/>
  <c r="L18" i="34"/>
  <c r="L17" i="34"/>
  <c r="G17" i="34"/>
  <c r="H17" i="34"/>
  <c r="I17" i="34"/>
  <c r="J17" i="34"/>
  <c r="K17" i="34"/>
  <c r="G16" i="34"/>
  <c r="H16" i="34"/>
  <c r="I16" i="34"/>
  <c r="J16" i="34"/>
  <c r="K16" i="34"/>
  <c r="L16" i="34"/>
  <c r="G15" i="34"/>
  <c r="H15" i="34"/>
  <c r="I15" i="34"/>
  <c r="J15" i="34"/>
  <c r="K15" i="34"/>
  <c r="L15" i="34"/>
  <c r="G14" i="34"/>
  <c r="H14" i="34"/>
  <c r="I14" i="34"/>
  <c r="J14" i="34"/>
  <c r="K14" i="34"/>
  <c r="L14" i="34"/>
  <c r="G13" i="34"/>
  <c r="H13" i="34"/>
  <c r="I13" i="34"/>
  <c r="J13" i="34"/>
  <c r="K13" i="34"/>
  <c r="L13" i="34"/>
  <c r="G12" i="34"/>
  <c r="H12" i="34"/>
  <c r="I12" i="34"/>
  <c r="J12" i="34"/>
  <c r="K12" i="34"/>
  <c r="L12" i="34"/>
  <c r="F11" i="34"/>
  <c r="G11" i="34"/>
  <c r="H11" i="34"/>
  <c r="I11" i="34"/>
  <c r="J11" i="34"/>
  <c r="K11" i="34"/>
  <c r="L11" i="34"/>
  <c r="F10" i="34"/>
  <c r="G10" i="34"/>
  <c r="H10" i="34"/>
  <c r="I10" i="34"/>
  <c r="J10" i="34"/>
  <c r="K10" i="34"/>
  <c r="L10" i="34"/>
  <c r="F24" i="33"/>
  <c r="G24" i="33"/>
  <c r="H24" i="33"/>
  <c r="I24" i="33"/>
  <c r="J24" i="33"/>
  <c r="K24" i="33"/>
  <c r="L24" i="33"/>
  <c r="F23" i="33"/>
  <c r="G23" i="33"/>
  <c r="H23" i="33"/>
  <c r="I23" i="33"/>
  <c r="J23" i="33"/>
  <c r="K23" i="33"/>
  <c r="L23" i="33"/>
  <c r="F22" i="33"/>
  <c r="G22" i="33"/>
  <c r="H22" i="33"/>
  <c r="H19" i="33" s="1"/>
  <c r="I22" i="33"/>
  <c r="J22" i="33"/>
  <c r="K22" i="33"/>
  <c r="L22" i="33"/>
  <c r="F21" i="33"/>
  <c r="G21" i="33"/>
  <c r="H21" i="33"/>
  <c r="I21" i="33"/>
  <c r="J21" i="33"/>
  <c r="K21" i="33"/>
  <c r="L21" i="33"/>
  <c r="F20" i="33"/>
  <c r="G20" i="33"/>
  <c r="H20" i="33"/>
  <c r="I20" i="33"/>
  <c r="J20" i="33"/>
  <c r="K20" i="33"/>
  <c r="L20" i="33"/>
  <c r="F13" i="33"/>
  <c r="F11" i="33" s="1"/>
  <c r="G13" i="33"/>
  <c r="G11" i="33" s="1"/>
  <c r="H13" i="33"/>
  <c r="I13" i="33"/>
  <c r="J13" i="33"/>
  <c r="J11" i="33" s="1"/>
  <c r="K13" i="33"/>
  <c r="K11" i="33" s="1"/>
  <c r="L13" i="33"/>
  <c r="H11" i="33"/>
  <c r="I11" i="33"/>
  <c r="L11" i="33"/>
  <c r="F55" i="32"/>
  <c r="G55" i="32"/>
  <c r="H55" i="32"/>
  <c r="I55" i="32"/>
  <c r="J55" i="32"/>
  <c r="J53" i="32" s="1"/>
  <c r="K55" i="32"/>
  <c r="L55" i="32"/>
  <c r="F54" i="32"/>
  <c r="G54" i="32"/>
  <c r="H54" i="32"/>
  <c r="I54" i="32"/>
  <c r="J54" i="32"/>
  <c r="K54" i="32"/>
  <c r="L54" i="32"/>
  <c r="F53" i="32"/>
  <c r="G53" i="32"/>
  <c r="H53" i="32"/>
  <c r="I53" i="32"/>
  <c r="L53" i="32"/>
  <c r="L49" i="32" s="1"/>
  <c r="F51" i="32"/>
  <c r="F50" i="32" s="1"/>
  <c r="G51" i="32"/>
  <c r="H51" i="32"/>
  <c r="I51" i="32"/>
  <c r="I50" i="32" s="1"/>
  <c r="I49" i="32" s="1"/>
  <c r="J51" i="32"/>
  <c r="J50" i="32" s="1"/>
  <c r="K51" i="32"/>
  <c r="L51" i="32"/>
  <c r="G50" i="32"/>
  <c r="H50" i="32"/>
  <c r="H49" i="32" s="1"/>
  <c r="K50" i="32"/>
  <c r="L50" i="32"/>
  <c r="I39" i="32"/>
  <c r="J39" i="32"/>
  <c r="K39" i="32"/>
  <c r="L39" i="32"/>
  <c r="F25" i="32"/>
  <c r="G25" i="32"/>
  <c r="H25" i="32"/>
  <c r="I25" i="32"/>
  <c r="J25" i="32"/>
  <c r="K25" i="32"/>
  <c r="L25" i="32"/>
  <c r="F21" i="32"/>
  <c r="G21" i="32"/>
  <c r="H21" i="32"/>
  <c r="I21" i="32"/>
  <c r="J21" i="32"/>
  <c r="K21" i="32"/>
  <c r="L21" i="32"/>
  <c r="F15" i="32"/>
  <c r="G15" i="32"/>
  <c r="H15" i="32"/>
  <c r="I15" i="32"/>
  <c r="J15" i="32"/>
  <c r="K15" i="32"/>
  <c r="L15" i="32"/>
  <c r="F14" i="32"/>
  <c r="G14" i="32"/>
  <c r="H14" i="32"/>
  <c r="I14" i="32"/>
  <c r="J14" i="32"/>
  <c r="K14" i="32"/>
  <c r="L14" i="32"/>
  <c r="F13" i="32"/>
  <c r="G13" i="32"/>
  <c r="H13" i="32"/>
  <c r="I13" i="32"/>
  <c r="J13" i="32"/>
  <c r="K13" i="32"/>
  <c r="L13" i="32"/>
  <c r="F12" i="32"/>
  <c r="G12" i="32"/>
  <c r="H12" i="32"/>
  <c r="I12" i="32"/>
  <c r="J12" i="32"/>
  <c r="K12" i="32"/>
  <c r="L12" i="32"/>
  <c r="L9" i="32"/>
  <c r="F9" i="32"/>
  <c r="G9" i="32"/>
  <c r="H9" i="32"/>
  <c r="I9" i="32"/>
  <c r="J9" i="32"/>
  <c r="K9" i="32"/>
  <c r="F33" i="12"/>
  <c r="G30" i="12" s="1"/>
  <c r="G33" i="12" s="1"/>
  <c r="H30" i="12" s="1"/>
  <c r="H33" i="12" s="1"/>
  <c r="I30" i="12" s="1"/>
  <c r="I33" i="12" s="1"/>
  <c r="J30" i="12" s="1"/>
  <c r="J33" i="12" s="1"/>
  <c r="F30" i="12"/>
  <c r="F23" i="12"/>
  <c r="G16" i="12" s="1"/>
  <c r="G23" i="12" s="1"/>
  <c r="H16" i="12" s="1"/>
  <c r="H23" i="12" s="1"/>
  <c r="I16" i="12" s="1"/>
  <c r="I23" i="12" s="1"/>
  <c r="J16" i="12" s="1"/>
  <c r="J23" i="12" s="1"/>
  <c r="F18" i="12"/>
  <c r="G18" i="12" s="1"/>
  <c r="H18" i="12" s="1"/>
  <c r="I18" i="12" s="1"/>
  <c r="J18" i="12" s="1"/>
  <c r="K18" i="12" s="1"/>
  <c r="L18" i="12" s="1"/>
  <c r="F17" i="12"/>
  <c r="G17" i="12" s="1"/>
  <c r="H17" i="12" s="1"/>
  <c r="I17" i="12" s="1"/>
  <c r="J17" i="12" s="1"/>
  <c r="K17" i="12" s="1"/>
  <c r="L17" i="12" s="1"/>
  <c r="F16" i="12"/>
  <c r="E31" i="7"/>
  <c r="E32" i="7" s="1"/>
  <c r="F31" i="7"/>
  <c r="F32" i="7" s="1"/>
  <c r="G31" i="7"/>
  <c r="G32" i="7" s="1"/>
  <c r="H31" i="7"/>
  <c r="H32" i="7" s="1"/>
  <c r="I31" i="7"/>
  <c r="I32" i="7" s="1"/>
  <c r="J31" i="7"/>
  <c r="J32" i="7" s="1"/>
  <c r="K31" i="7"/>
  <c r="K32" i="7" s="1"/>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F66" i="10"/>
  <c r="E12" i="7" s="1"/>
  <c r="G66" i="10"/>
  <c r="F12" i="7" s="1"/>
  <c r="H66" i="10"/>
  <c r="G12" i="7" s="1"/>
  <c r="I66" i="10"/>
  <c r="H12" i="7" s="1"/>
  <c r="H14" i="7" s="1"/>
  <c r="I17" i="33"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25" i="34" s="1"/>
  <c r="F32" i="34" s="1"/>
  <c r="G62" i="10"/>
  <c r="G25" i="34" s="1"/>
  <c r="G32" i="34" s="1"/>
  <c r="H62" i="10"/>
  <c r="H25" i="34" s="1"/>
  <c r="H32" i="34" s="1"/>
  <c r="I62" i="10"/>
  <c r="I25" i="34" s="1"/>
  <c r="I32" i="34" s="1"/>
  <c r="J62" i="10"/>
  <c r="J25" i="34" s="1"/>
  <c r="J32" i="34" s="1"/>
  <c r="K62" i="10"/>
  <c r="K25" i="34" s="1"/>
  <c r="K32" i="34" s="1"/>
  <c r="F61" i="10"/>
  <c r="G61" i="10"/>
  <c r="H61" i="10"/>
  <c r="I61" i="10"/>
  <c r="J61" i="10"/>
  <c r="K61" i="10"/>
  <c r="L61" i="10"/>
  <c r="F59" i="10"/>
  <c r="G59" i="10"/>
  <c r="H59" i="10"/>
  <c r="I59" i="10"/>
  <c r="J59" i="10"/>
  <c r="K59" i="10"/>
  <c r="L59" i="10"/>
  <c r="L58" i="10"/>
  <c r="F58" i="10"/>
  <c r="F55" i="10"/>
  <c r="G55" i="10"/>
  <c r="G58" i="10" s="1"/>
  <c r="H55" i="10" s="1"/>
  <c r="H58" i="10" s="1"/>
  <c r="I55" i="10" s="1"/>
  <c r="I58" i="10" s="1"/>
  <c r="J55" i="10" s="1"/>
  <c r="J58" i="10" s="1"/>
  <c r="F54" i="10"/>
  <c r="G51" i="10" s="1"/>
  <c r="G54" i="10" s="1"/>
  <c r="H51" i="10" s="1"/>
  <c r="H54" i="10" s="1"/>
  <c r="I51" i="10" s="1"/>
  <c r="I54" i="10" s="1"/>
  <c r="J51" i="10" s="1"/>
  <c r="J54" i="10" s="1"/>
  <c r="F51" i="10"/>
  <c r="F49" i="10"/>
  <c r="G49" i="10"/>
  <c r="H49" i="10"/>
  <c r="I49" i="10"/>
  <c r="J49" i="10"/>
  <c r="K49" i="10"/>
  <c r="L49" i="10"/>
  <c r="F48" i="10"/>
  <c r="G45" i="10" s="1"/>
  <c r="G48" i="10" s="1"/>
  <c r="H45" i="10" s="1"/>
  <c r="H48" i="10" s="1"/>
  <c r="I45" i="10" s="1"/>
  <c r="I48" i="10" s="1"/>
  <c r="J45" i="10" s="1"/>
  <c r="J48" i="10" s="1"/>
  <c r="F45" i="10"/>
  <c r="F44" i="10"/>
  <c r="G41" i="10" s="1"/>
  <c r="G44" i="10" s="1"/>
  <c r="H41" i="10" s="1"/>
  <c r="H44" i="10" s="1"/>
  <c r="I41" i="10" s="1"/>
  <c r="I44" i="10" s="1"/>
  <c r="J41" i="10" s="1"/>
  <c r="J44" i="10" s="1"/>
  <c r="F41" i="10"/>
  <c r="F39" i="10"/>
  <c r="G39" i="10"/>
  <c r="H39" i="10"/>
  <c r="I39" i="10"/>
  <c r="J39" i="10"/>
  <c r="K39" i="10"/>
  <c r="L39" i="10"/>
  <c r="F38" i="10"/>
  <c r="G35" i="10" s="1"/>
  <c r="G38" i="10" s="1"/>
  <c r="H35" i="10" s="1"/>
  <c r="H38" i="10" s="1"/>
  <c r="I35" i="10" s="1"/>
  <c r="I38" i="10" s="1"/>
  <c r="J35" i="10" s="1"/>
  <c r="J38" i="10" s="1"/>
  <c r="F35" i="10"/>
  <c r="F34" i="10"/>
  <c r="G31" i="10" s="1"/>
  <c r="G34" i="10" s="1"/>
  <c r="H31" i="10" s="1"/>
  <c r="H34" i="10" s="1"/>
  <c r="I31" i="10" s="1"/>
  <c r="I34" i="10" s="1"/>
  <c r="J31" i="10" s="1"/>
  <c r="J34" i="10" s="1"/>
  <c r="F31" i="10"/>
  <c r="F29" i="10"/>
  <c r="G29" i="10"/>
  <c r="H29" i="10"/>
  <c r="I29" i="10"/>
  <c r="J29" i="10"/>
  <c r="K29" i="10"/>
  <c r="L29" i="10"/>
  <c r="F28" i="10"/>
  <c r="G25" i="10" s="1"/>
  <c r="G28" i="10" s="1"/>
  <c r="H25" i="10" s="1"/>
  <c r="H28" i="10" s="1"/>
  <c r="I25" i="10" s="1"/>
  <c r="I28" i="10" s="1"/>
  <c r="J25" i="10" s="1"/>
  <c r="J28" i="10" s="1"/>
  <c r="F25" i="10"/>
  <c r="F24" i="10"/>
  <c r="G24" i="10"/>
  <c r="H21" i="10" s="1"/>
  <c r="H24" i="10" s="1"/>
  <c r="I21" i="10" s="1"/>
  <c r="I24" i="10" s="1"/>
  <c r="J21" i="10" s="1"/>
  <c r="J24" i="10" s="1"/>
  <c r="F21" i="10"/>
  <c r="G21" i="10"/>
  <c r="F19" i="10"/>
  <c r="G19" i="10"/>
  <c r="H19" i="10"/>
  <c r="I19" i="10"/>
  <c r="J19" i="10"/>
  <c r="K19" i="10"/>
  <c r="L19" i="10"/>
  <c r="F18" i="10"/>
  <c r="G15" i="10" s="1"/>
  <c r="G18" i="10" s="1"/>
  <c r="H15" i="10" s="1"/>
  <c r="H18" i="10" s="1"/>
  <c r="I15" i="10" s="1"/>
  <c r="I18" i="10" s="1"/>
  <c r="J15" i="10" s="1"/>
  <c r="J18" i="10" s="1"/>
  <c r="F15" i="10"/>
  <c r="F14" i="10"/>
  <c r="G14" i="10"/>
  <c r="F11" i="10"/>
  <c r="G11" i="10"/>
  <c r="H11" i="10"/>
  <c r="H14" i="10" s="1"/>
  <c r="I11" i="10" s="1"/>
  <c r="I14" i="10" s="1"/>
  <c r="J11" i="10" s="1"/>
  <c r="J14" i="10" s="1"/>
  <c r="F9" i="10"/>
  <c r="G6" i="10" s="1"/>
  <c r="G9" i="10" s="1"/>
  <c r="H6" i="10" s="1"/>
  <c r="H9" i="10" s="1"/>
  <c r="I6" i="10" s="1"/>
  <c r="I9" i="10" s="1"/>
  <c r="J6" i="10" s="1"/>
  <c r="J9" i="10" s="1"/>
  <c r="J11" i="32" s="1"/>
  <c r="F6" i="10"/>
  <c r="F85" i="6"/>
  <c r="G85" i="6"/>
  <c r="H85" i="6"/>
  <c r="I85" i="6"/>
  <c r="J85" i="6"/>
  <c r="K85" i="6"/>
  <c r="K9" i="6" s="1"/>
  <c r="K10" i="33" s="1"/>
  <c r="L85" i="6"/>
  <c r="F79" i="6"/>
  <c r="G79" i="6"/>
  <c r="G9" i="6" s="1"/>
  <c r="G10" i="33" s="1"/>
  <c r="H79" i="6"/>
  <c r="I79" i="6"/>
  <c r="J79" i="6"/>
  <c r="K79" i="6"/>
  <c r="L79" i="6"/>
  <c r="F73" i="6"/>
  <c r="G73" i="6"/>
  <c r="G8" i="6" s="1"/>
  <c r="G9" i="33" s="1"/>
  <c r="H73" i="6"/>
  <c r="I73" i="6"/>
  <c r="J73" i="6"/>
  <c r="K73" i="6"/>
  <c r="L73" i="6"/>
  <c r="F67" i="6"/>
  <c r="G67" i="6"/>
  <c r="H67" i="6"/>
  <c r="I67" i="6"/>
  <c r="J67" i="6"/>
  <c r="J8" i="6" s="1"/>
  <c r="J9" i="33" s="1"/>
  <c r="K67" i="6"/>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G29" i="6"/>
  <c r="H29" i="6"/>
  <c r="I29" i="6"/>
  <c r="J29" i="6"/>
  <c r="K29" i="6"/>
  <c r="L29" i="6"/>
  <c r="F22" i="6"/>
  <c r="G22" i="6"/>
  <c r="H22" i="6"/>
  <c r="I22" i="6"/>
  <c r="J22" i="6"/>
  <c r="K22" i="6"/>
  <c r="L22" i="6"/>
  <c r="F15" i="6"/>
  <c r="G15" i="6"/>
  <c r="H15" i="6"/>
  <c r="I15" i="6"/>
  <c r="J15" i="6"/>
  <c r="K15" i="6"/>
  <c r="L15" i="6"/>
  <c r="F9" i="6"/>
  <c r="F10" i="33" s="1"/>
  <c r="H9" i="6"/>
  <c r="H10" i="33" s="1"/>
  <c r="I9" i="6"/>
  <c r="I10" i="33" s="1"/>
  <c r="J9" i="6"/>
  <c r="J10" i="33" s="1"/>
  <c r="L9" i="6"/>
  <c r="L10" i="33" s="1"/>
  <c r="H8" i="6"/>
  <c r="H9" i="33" s="1"/>
  <c r="I8" i="6"/>
  <c r="I9" i="33" s="1"/>
  <c r="L8" i="6"/>
  <c r="L9" i="33" s="1"/>
  <c r="F7" i="6"/>
  <c r="F8" i="33" s="1"/>
  <c r="G7" i="6"/>
  <c r="G8" i="33" s="1"/>
  <c r="H7" i="6"/>
  <c r="H8" i="33" s="1"/>
  <c r="I7" i="6"/>
  <c r="I8" i="33" s="1"/>
  <c r="I7" i="33" s="1"/>
  <c r="J7" i="6"/>
  <c r="J8" i="33" s="1"/>
  <c r="K7" i="6"/>
  <c r="K8" i="33" s="1"/>
  <c r="F14" i="25"/>
  <c r="G14" i="25"/>
  <c r="H14" i="25"/>
  <c r="I14" i="25"/>
  <c r="J14" i="7" l="1"/>
  <c r="K17" i="33" s="1"/>
  <c r="K9" i="34"/>
  <c r="I14" i="7"/>
  <c r="J17" i="33" s="1"/>
  <c r="J9" i="34"/>
  <c r="H9" i="34"/>
  <c r="G14" i="7"/>
  <c r="H17" i="33" s="1"/>
  <c r="H16" i="33" s="1"/>
  <c r="G9" i="34"/>
  <c r="F14" i="7"/>
  <c r="G17" i="33" s="1"/>
  <c r="F9" i="34"/>
  <c r="E14" i="7"/>
  <c r="F17" i="33" s="1"/>
  <c r="L9" i="34"/>
  <c r="K14" i="7"/>
  <c r="L17" i="33" s="1"/>
  <c r="I11" i="32"/>
  <c r="I10" i="32" s="1"/>
  <c r="I8" i="32" s="1"/>
  <c r="J69" i="10"/>
  <c r="H11" i="32"/>
  <c r="H10" i="32" s="1"/>
  <c r="H8" i="32" s="1"/>
  <c r="I69" i="10"/>
  <c r="G11" i="32"/>
  <c r="I9" i="34"/>
  <c r="H69" i="10"/>
  <c r="F11" i="32"/>
  <c r="F10" i="32" s="1"/>
  <c r="F8" i="32" s="1"/>
  <c r="G69" i="10"/>
  <c r="F69" i="10"/>
  <c r="H7" i="33"/>
  <c r="F12" i="34"/>
  <c r="F19" i="33"/>
  <c r="G19" i="33"/>
  <c r="I19" i="33"/>
  <c r="I16" i="33" s="1"/>
  <c r="I25" i="33" s="1"/>
  <c r="I26" i="33" s="1"/>
  <c r="I27" i="33" s="1"/>
  <c r="J7" i="33"/>
  <c r="G7" i="33"/>
  <c r="G49" i="32"/>
  <c r="K53" i="32"/>
  <c r="K49" i="32" s="1"/>
  <c r="J49" i="32"/>
  <c r="F49" i="32"/>
  <c r="G10" i="32"/>
  <c r="G8" i="32" s="1"/>
  <c r="J10" i="32"/>
  <c r="J8" i="32" s="1"/>
  <c r="K8" i="6"/>
  <c r="F8" i="6"/>
  <c r="F9" i="33" s="1"/>
  <c r="F7" i="33" s="1"/>
  <c r="L7" i="6"/>
  <c r="I6" i="6"/>
  <c r="H6" i="6"/>
  <c r="G6" i="6"/>
  <c r="E14" i="25"/>
  <c r="J14" i="25"/>
  <c r="K14" i="25"/>
  <c r="F16" i="33" l="1"/>
  <c r="F25" i="33" s="1"/>
  <c r="F26" i="33" s="1"/>
  <c r="F27" i="33" s="1"/>
  <c r="I8" i="34"/>
  <c r="I23" i="34" s="1"/>
  <c r="I6" i="36"/>
  <c r="H25" i="33"/>
  <c r="H26" i="33" s="1"/>
  <c r="H27" i="33" s="1"/>
  <c r="H8" i="34" s="1"/>
  <c r="H23" i="34" s="1"/>
  <c r="G16" i="33"/>
  <c r="G25" i="33" s="1"/>
  <c r="K6" i="6"/>
  <c r="K9" i="33"/>
  <c r="K7" i="33" s="1"/>
  <c r="F13" i="34"/>
  <c r="F6" i="6"/>
  <c r="L6" i="6"/>
  <c r="J6" i="6"/>
  <c r="F6" i="36" l="1"/>
  <c r="F8" i="34"/>
  <c r="G26" i="33"/>
  <c r="G27" i="33"/>
  <c r="G8" i="34" s="1"/>
  <c r="G23" i="34" s="1"/>
  <c r="H6" i="36"/>
  <c r="F14" i="34"/>
  <c r="G6" i="36" l="1"/>
  <c r="F15" i="34"/>
  <c r="D82" i="11"/>
  <c r="F16" i="34" l="1"/>
  <c r="D22" i="23"/>
  <c r="F17" i="34" l="1"/>
  <c r="L67" i="10"/>
  <c r="L62" i="10"/>
  <c r="L25" i="34" s="1"/>
  <c r="L32" i="34" s="1"/>
  <c r="F18" i="34" l="1"/>
  <c r="F23" i="34" s="1"/>
  <c r="L8" i="33"/>
  <c r="L7" i="33" s="1"/>
  <c r="L19" i="33"/>
  <c r="L16" i="33" s="1"/>
  <c r="K19" i="33"/>
  <c r="K16" i="33" s="1"/>
  <c r="K25" i="33" s="1"/>
  <c r="K26" i="33" s="1"/>
  <c r="K27" i="33" s="1"/>
  <c r="L25" i="33" l="1"/>
  <c r="L26" i="33" s="1"/>
  <c r="L27" i="33" s="1"/>
  <c r="L8" i="34" s="1"/>
  <c r="L23" i="34" s="1"/>
  <c r="K6" i="36"/>
  <c r="K8" i="34"/>
  <c r="K23" i="34" s="1"/>
  <c r="F37" i="32"/>
  <c r="G37" i="32" s="1"/>
  <c r="H37" i="32" s="1"/>
  <c r="I37" i="32" s="1"/>
  <c r="J37" i="32" s="1"/>
  <c r="K37" i="32" s="1"/>
  <c r="L37" i="32" s="1"/>
  <c r="F43" i="32"/>
  <c r="F41" i="32" s="1"/>
  <c r="A9" i="29"/>
  <c r="B92" i="24"/>
  <c r="B91" i="24"/>
  <c r="A91" i="24" s="1"/>
  <c r="B93" i="24"/>
  <c r="D62" i="10"/>
  <c r="C6" i="7"/>
  <c r="D29" i="7"/>
  <c r="J19" i="33"/>
  <c r="J16" i="33" s="1"/>
  <c r="J25" i="33" s="1"/>
  <c r="J26" i="33" s="1"/>
  <c r="J27" i="33" s="1"/>
  <c r="C29" i="7"/>
  <c r="D21" i="7"/>
  <c r="C21" i="7"/>
  <c r="A32" i="7"/>
  <c r="B32" i="7"/>
  <c r="D31" i="7"/>
  <c r="D32" i="7" s="1"/>
  <c r="C31" i="7"/>
  <c r="E12" i="34"/>
  <c r="E10" i="34"/>
  <c r="E30" i="34"/>
  <c r="D31" i="34"/>
  <c r="E31" i="34"/>
  <c r="D30" i="34"/>
  <c r="A8" i="29"/>
  <c r="D43" i="32"/>
  <c r="O6" i="36"/>
  <c r="O5" i="36"/>
  <c r="C4" i="36"/>
  <c r="D3" i="36"/>
  <c r="L6" i="36" l="1"/>
  <c r="J8" i="34"/>
  <c r="J23" i="34" s="1"/>
  <c r="J6" i="36"/>
  <c r="G43" i="32"/>
  <c r="G41" i="32" s="1"/>
  <c r="H39" i="32"/>
  <c r="C32" i="7"/>
  <c r="D4" i="36"/>
  <c r="E34" i="34"/>
  <c r="E35" i="34"/>
  <c r="E38" i="34"/>
  <c r="E36" i="34"/>
  <c r="E37" i="34"/>
  <c r="D34" i="34"/>
  <c r="D36" i="34"/>
  <c r="D35" i="34"/>
  <c r="E22" i="34"/>
  <c r="E21" i="34"/>
  <c r="E20" i="34"/>
  <c r="E19" i="34"/>
  <c r="E18" i="34"/>
  <c r="E17" i="34"/>
  <c r="E16" i="34"/>
  <c r="E15" i="34"/>
  <c r="E14" i="34"/>
  <c r="H43" i="32" l="1"/>
  <c r="H41" i="32" s="1"/>
  <c r="E4" i="36"/>
  <c r="F4" i="36" s="1"/>
  <c r="G4" i="36" s="1"/>
  <c r="D37" i="34"/>
  <c r="D38" i="34"/>
  <c r="D5" i="34"/>
  <c r="D6" i="34" s="1"/>
  <c r="E13" i="33"/>
  <c r="E11" i="33" s="1"/>
  <c r="D13" i="33"/>
  <c r="D11" i="33" s="1"/>
  <c r="D54" i="32"/>
  <c r="D55" i="32"/>
  <c r="E54" i="32"/>
  <c r="D41" i="32"/>
  <c r="D23" i="33"/>
  <c r="D11" i="34" s="1"/>
  <c r="E21" i="33"/>
  <c r="D21" i="33"/>
  <c r="E22" i="33"/>
  <c r="D22" i="33"/>
  <c r="E23" i="33"/>
  <c r="E11" i="34" s="1"/>
  <c r="D5" i="33"/>
  <c r="D6" i="33" s="1"/>
  <c r="D25" i="32"/>
  <c r="D21" i="32"/>
  <c r="D5" i="32"/>
  <c r="D6" i="32" s="1"/>
  <c r="A7" i="29"/>
  <c r="G17" i="23"/>
  <c r="C3" i="7"/>
  <c r="C4" i="7" s="1"/>
  <c r="C10" i="25"/>
  <c r="C11" i="25" s="1"/>
  <c r="D4" i="6"/>
  <c r="D5" i="6" s="1"/>
  <c r="D3" i="10"/>
  <c r="D4" i="10" s="1"/>
  <c r="D28" i="12"/>
  <c r="D29" i="12" s="1"/>
  <c r="D14" i="12"/>
  <c r="D15" i="12" s="1"/>
  <c r="G22" i="23"/>
  <c r="C19" i="23"/>
  <c r="E1" i="23"/>
  <c r="G19" i="23"/>
  <c r="F6" i="32" l="1"/>
  <c r="H4" i="36"/>
  <c r="I4" i="36" s="1"/>
  <c r="J4" i="36" s="1"/>
  <c r="I43" i="32"/>
  <c r="I41" i="32" s="1"/>
  <c r="D4" i="7"/>
  <c r="D24" i="33"/>
  <c r="D45" i="34"/>
  <c r="E13" i="34"/>
  <c r="D11" i="25"/>
  <c r="E11" i="25" s="1"/>
  <c r="E6" i="34"/>
  <c r="D53" i="32"/>
  <c r="D20" i="32"/>
  <c r="E6" i="33"/>
  <c r="F6" i="33" s="1"/>
  <c r="E6" i="32"/>
  <c r="E5" i="6"/>
  <c r="F5" i="6" s="1"/>
  <c r="E4" i="10"/>
  <c r="F4" i="10" s="1"/>
  <c r="G4" i="10" s="1"/>
  <c r="E29" i="12"/>
  <c r="F29" i="12" s="1"/>
  <c r="G29" i="12" s="1"/>
  <c r="E15" i="12"/>
  <c r="F15" i="12" s="1"/>
  <c r="B15" i="11"/>
  <c r="B14" i="11"/>
  <c r="B13" i="11"/>
  <c r="G18" i="23"/>
  <c r="G11" i="23"/>
  <c r="D84" i="6"/>
  <c r="D78" i="6"/>
  <c r="D72" i="6"/>
  <c r="D66" i="6"/>
  <c r="D60" i="6"/>
  <c r="D54" i="6"/>
  <c r="D48" i="6"/>
  <c r="D42" i="6"/>
  <c r="D35" i="6"/>
  <c r="D28" i="6"/>
  <c r="D21" i="6"/>
  <c r="D14" i="6"/>
  <c r="C26" i="11"/>
  <c r="A9" i="23"/>
  <c r="B14" i="2"/>
  <c r="B15" i="2"/>
  <c r="B16" i="2"/>
  <c r="B17" i="2"/>
  <c r="B13" i="2"/>
  <c r="B12" i="2"/>
  <c r="B5" i="2"/>
  <c r="B6" i="2"/>
  <c r="B7" i="2"/>
  <c r="B8" i="2"/>
  <c r="B9" i="2"/>
  <c r="B10" i="2"/>
  <c r="B11" i="2"/>
  <c r="C83" i="11"/>
  <c r="C69" i="11"/>
  <c r="C55" i="11"/>
  <c r="C27" i="11"/>
  <c r="C41" i="11"/>
  <c r="C40" i="11"/>
  <c r="C54" i="11"/>
  <c r="C68" i="11"/>
  <c r="C82" i="11"/>
  <c r="H76" i="11"/>
  <c r="G5" i="6" l="1"/>
  <c r="H5" i="6" s="1"/>
  <c r="I5" i="6"/>
  <c r="J5" i="6" s="1"/>
  <c r="G6" i="33"/>
  <c r="H29" i="12"/>
  <c r="I29" i="12" s="1"/>
  <c r="J29" i="12" s="1"/>
  <c r="H4" i="10"/>
  <c r="I4" i="10" s="1"/>
  <c r="J4" i="10" s="1"/>
  <c r="K4" i="10" s="1"/>
  <c r="L4" i="10" s="1"/>
  <c r="E4" i="7"/>
  <c r="H6" i="32"/>
  <c r="F11" i="25"/>
  <c r="H11" i="25" s="1"/>
  <c r="G6" i="32"/>
  <c r="K4" i="36"/>
  <c r="L4" i="36" s="1"/>
  <c r="G11" i="25"/>
  <c r="G15" i="12"/>
  <c r="H15" i="12" s="1"/>
  <c r="F6" i="34"/>
  <c r="J43" i="32"/>
  <c r="J41" i="32" s="1"/>
  <c r="I11" i="25" l="1"/>
  <c r="J11" i="25" s="1"/>
  <c r="K11" i="25" s="1"/>
  <c r="K29" i="12"/>
  <c r="L29" i="12" s="1"/>
  <c r="G6" i="34"/>
  <c r="I15" i="12"/>
  <c r="H6" i="33"/>
  <c r="I6" i="33" s="1"/>
  <c r="F4" i="7"/>
  <c r="H4" i="7" s="1"/>
  <c r="I4" i="7" s="1"/>
  <c r="I6" i="32"/>
  <c r="J6" i="32" s="1"/>
  <c r="K5" i="6"/>
  <c r="L5" i="6" s="1"/>
  <c r="G4" i="7"/>
  <c r="H6" i="34"/>
  <c r="K43" i="32"/>
  <c r="K41" i="32" s="1"/>
  <c r="L43" i="32"/>
  <c r="L41" i="32" s="1"/>
  <c r="C13" i="6"/>
  <c r="J4" i="7" l="1"/>
  <c r="K4" i="7" s="1"/>
  <c r="K6" i="32"/>
  <c r="L6" i="32" s="1"/>
  <c r="J6" i="33"/>
  <c r="J15" i="12"/>
  <c r="K15" i="12" s="1"/>
  <c r="L15" i="12" s="1"/>
  <c r="K6" i="33"/>
  <c r="L6" i="33" s="1"/>
  <c r="I6" i="34"/>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J6" i="34" l="1"/>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F45" i="34" l="1"/>
  <c r="F47" i="34" s="1"/>
  <c r="G45" i="34"/>
  <c r="G47" i="34" s="1"/>
  <c r="H45" i="34"/>
  <c r="H47" i="34" s="1"/>
  <c r="I45" i="34"/>
  <c r="I47" i="34" s="1"/>
  <c r="K6" i="34"/>
  <c r="J45" i="34"/>
  <c r="J47" i="34" s="1"/>
  <c r="P8" i="6"/>
  <c r="T7" i="6"/>
  <c r="F27" i="11"/>
  <c r="J32" i="11" s="1"/>
  <c r="E40" i="34"/>
  <c r="E45" i="34" s="1"/>
  <c r="I41" i="11"/>
  <c r="R85" i="6"/>
  <c r="R78" i="6"/>
  <c r="R73" i="6"/>
  <c r="R66" i="6"/>
  <c r="R60" i="6"/>
  <c r="R55" i="6"/>
  <c r="R50" i="6"/>
  <c r="R42" i="6"/>
  <c r="R36" i="6"/>
  <c r="R29" i="6"/>
  <c r="R22" i="6"/>
  <c r="A7" i="6"/>
  <c r="H13" i="11"/>
  <c r="D14" i="25"/>
  <c r="D6" i="7" s="1"/>
  <c r="C13" i="25"/>
  <c r="L6" i="34" l="1"/>
  <c r="L45" i="34" s="1"/>
  <c r="L47" i="34" s="1"/>
  <c r="K45" i="34"/>
  <c r="K47" i="34" s="1"/>
  <c r="P9" i="6"/>
  <c r="T8" i="6"/>
  <c r="E43" i="32"/>
  <c r="E41" i="32" s="1"/>
  <c r="F41" i="11"/>
  <c r="H32" i="11"/>
  <c r="R86" i="6"/>
  <c r="R79" i="6"/>
  <c r="R74" i="6"/>
  <c r="R67" i="6"/>
  <c r="R61" i="6"/>
  <c r="R56" i="6"/>
  <c r="R43" i="6"/>
  <c r="R37" i="6"/>
  <c r="R30" i="6"/>
  <c r="R23" i="6"/>
  <c r="A8" i="6"/>
  <c r="P5" i="12"/>
  <c r="P10" i="6" l="1"/>
  <c r="T9" i="6"/>
  <c r="J46" i="11"/>
  <c r="H46" i="11" s="1"/>
  <c r="F55" i="11"/>
  <c r="R80" i="6"/>
  <c r="R68" i="6"/>
  <c r="R62" i="6"/>
  <c r="R44" i="6"/>
  <c r="A9" i="6"/>
  <c r="E17" i="12"/>
  <c r="D25" i="34"/>
  <c r="D32" i="34" s="1"/>
  <c r="D61" i="10"/>
  <c r="D24" i="10"/>
  <c r="P11" i="6" l="1"/>
  <c r="T10" i="6"/>
  <c r="A10" i="6"/>
  <c r="J60" i="11"/>
  <c r="H60" i="11" s="1"/>
  <c r="F69" i="11"/>
  <c r="F83" i="11" s="1"/>
  <c r="P12" i="6" l="1"/>
  <c r="A11" i="6"/>
  <c r="T11" i="6"/>
  <c r="J74" i="11"/>
  <c r="H74" i="11" s="1"/>
  <c r="J88" i="11"/>
  <c r="H88" i="11" s="1"/>
  <c r="F19" i="11"/>
  <c r="D11" i="11" s="1"/>
  <c r="E26" i="11"/>
  <c r="D33" i="12"/>
  <c r="E18" i="12"/>
  <c r="D16" i="12"/>
  <c r="P11" i="12"/>
  <c r="E89" i="11"/>
  <c r="E82" i="11"/>
  <c r="E75" i="11"/>
  <c r="E68" i="11"/>
  <c r="E19" i="11" s="1"/>
  <c r="C10" i="11" s="1"/>
  <c r="D68" i="11"/>
  <c r="E61" i="11"/>
  <c r="E54" i="11"/>
  <c r="D54" i="11"/>
  <c r="H48" i="11" s="1"/>
  <c r="E40" i="11"/>
  <c r="D40" i="11"/>
  <c r="H34" i="11" s="1"/>
  <c r="D26" i="11"/>
  <c r="H20" i="11" s="1"/>
  <c r="E67" i="10"/>
  <c r="D67" i="10"/>
  <c r="E66" i="10"/>
  <c r="D12" i="7" s="1"/>
  <c r="E9" i="34" s="1"/>
  <c r="D66" i="10"/>
  <c r="D65" i="10"/>
  <c r="E63" i="10"/>
  <c r="D63" i="10"/>
  <c r="E62" i="10"/>
  <c r="E25" i="34" s="1"/>
  <c r="E32" i="34" s="1"/>
  <c r="D58" i="10"/>
  <c r="E55" i="10" s="1"/>
  <c r="E58" i="10" s="1"/>
  <c r="D54" i="10"/>
  <c r="D48" i="10"/>
  <c r="E45" i="10" s="1"/>
  <c r="E48" i="10" s="1"/>
  <c r="D44" i="10"/>
  <c r="E41" i="10" s="1"/>
  <c r="E44" i="10" s="1"/>
  <c r="K41" i="10" s="1"/>
  <c r="K44" i="10" s="1"/>
  <c r="D38" i="10"/>
  <c r="E35" i="10" s="1"/>
  <c r="E38" i="10" s="1"/>
  <c r="D34" i="10"/>
  <c r="E31" i="10" s="1"/>
  <c r="E34" i="10" s="1"/>
  <c r="K31" i="10" s="1"/>
  <c r="K34" i="10" s="1"/>
  <c r="D28" i="10"/>
  <c r="E25" i="10" s="1"/>
  <c r="E28" i="10" s="1"/>
  <c r="E21" i="10"/>
  <c r="E24" i="10" s="1"/>
  <c r="K21" i="10" s="1"/>
  <c r="K24" i="10" s="1"/>
  <c r="D18" i="10"/>
  <c r="D14" i="10"/>
  <c r="D9" i="10"/>
  <c r="E24" i="33"/>
  <c r="E20" i="33"/>
  <c r="E9" i="6"/>
  <c r="D9" i="6"/>
  <c r="E15" i="6"/>
  <c r="C14" i="6"/>
  <c r="K55" i="10" l="1"/>
  <c r="K58" i="10" s="1"/>
  <c r="K45" i="10"/>
  <c r="K48" i="10" s="1"/>
  <c r="K35" i="10"/>
  <c r="K38" i="10" s="1"/>
  <c r="K25" i="10"/>
  <c r="K28" i="10" s="1"/>
  <c r="D51" i="32"/>
  <c r="D50" i="32" s="1"/>
  <c r="D49" i="32" s="1"/>
  <c r="D23" i="12"/>
  <c r="E16" i="12" s="1"/>
  <c r="E23" i="12" s="1"/>
  <c r="L21" i="10"/>
  <c r="L24" i="10" s="1"/>
  <c r="L31" i="10"/>
  <c r="L34" i="10" s="1"/>
  <c r="L41" i="10"/>
  <c r="L44" i="10" s="1"/>
  <c r="D59" i="10"/>
  <c r="D9" i="32" s="1"/>
  <c r="E6" i="10"/>
  <c r="E9" i="10" s="1"/>
  <c r="D11" i="32"/>
  <c r="P13" i="6"/>
  <c r="A12" i="6"/>
  <c r="T12" i="6"/>
  <c r="D20" i="33"/>
  <c r="D19" i="33" s="1"/>
  <c r="E55" i="32"/>
  <c r="E53" i="32" s="1"/>
  <c r="D10" i="33"/>
  <c r="E10" i="33"/>
  <c r="E19" i="33"/>
  <c r="H62" i="11"/>
  <c r="D19" i="11"/>
  <c r="D14" i="7"/>
  <c r="E17" i="33" s="1"/>
  <c r="E30" i="12"/>
  <c r="C12" i="7"/>
  <c r="C14" i="7" s="1"/>
  <c r="E7" i="6"/>
  <c r="E51" i="10"/>
  <c r="E54" i="10" s="1"/>
  <c r="D68" i="10"/>
  <c r="E15" i="10"/>
  <c r="D29" i="10"/>
  <c r="D64" i="10"/>
  <c r="E11" i="10"/>
  <c r="E29" i="10"/>
  <c r="D39" i="10"/>
  <c r="C8" i="11"/>
  <c r="D8" i="6"/>
  <c r="E8" i="6"/>
  <c r="D7" i="6"/>
  <c r="D8" i="33" s="1"/>
  <c r="E39" i="10"/>
  <c r="E49" i="10"/>
  <c r="D19" i="10"/>
  <c r="D49" i="10"/>
  <c r="K16" i="12" l="1"/>
  <c r="K23" i="12" s="1"/>
  <c r="L55" i="10"/>
  <c r="L45" i="10"/>
  <c r="L48" i="10" s="1"/>
  <c r="L35" i="10"/>
  <c r="L25" i="10"/>
  <c r="K6" i="10"/>
  <c r="K9" i="10" s="1"/>
  <c r="E33" i="12"/>
  <c r="E51" i="32" s="1"/>
  <c r="E50" i="32" s="1"/>
  <c r="E49" i="32" s="1"/>
  <c r="R11" i="12"/>
  <c r="E59" i="10"/>
  <c r="K51" i="10"/>
  <c r="K54" i="10" s="1"/>
  <c r="E16" i="33"/>
  <c r="D14" i="32"/>
  <c r="D13" i="32"/>
  <c r="D15" i="32"/>
  <c r="P14" i="6"/>
  <c r="T13" i="6"/>
  <c r="A13" i="6"/>
  <c r="D17" i="33"/>
  <c r="D16" i="33" s="1"/>
  <c r="D9" i="34"/>
  <c r="E8" i="33"/>
  <c r="E9" i="33"/>
  <c r="D9" i="33"/>
  <c r="D7" i="33" s="1"/>
  <c r="D12" i="32"/>
  <c r="D69" i="10"/>
  <c r="G39" i="32"/>
  <c r="D6" i="6"/>
  <c r="C23" i="23" s="1" a="1"/>
  <c r="C23" i="23" s="1"/>
  <c r="E61" i="10"/>
  <c r="E14" i="10"/>
  <c r="C6" i="11"/>
  <c r="E47" i="11"/>
  <c r="E6" i="6"/>
  <c r="E65" i="10"/>
  <c r="E18" i="10"/>
  <c r="K11" i="32" l="1"/>
  <c r="K10" i="32" s="1"/>
  <c r="K8" i="32" s="1"/>
  <c r="K69" i="10"/>
  <c r="K30" i="12"/>
  <c r="K33" i="12" s="1"/>
  <c r="L30" i="12" s="1"/>
  <c r="L33" i="12" s="1"/>
  <c r="L16" i="12"/>
  <c r="L23" i="12" s="1"/>
  <c r="L38" i="10"/>
  <c r="L28" i="10"/>
  <c r="L6" i="10"/>
  <c r="L9" i="10" s="1"/>
  <c r="K11" i="10"/>
  <c r="K14" i="10" s="1"/>
  <c r="L51" i="10"/>
  <c r="L54" i="10" s="1"/>
  <c r="K15" i="10"/>
  <c r="K18" i="10" s="1"/>
  <c r="F39" i="32"/>
  <c r="D10" i="32"/>
  <c r="D8" i="32" s="1"/>
  <c r="D31" i="32" s="1"/>
  <c r="D5" i="36" s="1"/>
  <c r="P15" i="6"/>
  <c r="T14" i="6"/>
  <c r="A14" i="6"/>
  <c r="E7" i="33"/>
  <c r="E25" i="33" s="1"/>
  <c r="E26" i="33" s="1"/>
  <c r="E27" i="33" s="1"/>
  <c r="D25" i="33"/>
  <c r="D27" i="33" s="1"/>
  <c r="D39" i="32" s="1"/>
  <c r="D38" i="32" s="1"/>
  <c r="E64" i="10"/>
  <c r="E68" i="10"/>
  <c r="E19" i="10"/>
  <c r="L69" i="10" l="1"/>
  <c r="L11" i="32"/>
  <c r="L10" i="32" s="1"/>
  <c r="L8" i="32" s="1"/>
  <c r="P16" i="6"/>
  <c r="A15" i="6"/>
  <c r="T15" i="6"/>
  <c r="D35" i="32"/>
  <c r="E40" i="32"/>
  <c r="E8" i="34"/>
  <c r="E23" i="34" s="1"/>
  <c r="E47" i="34" s="1"/>
  <c r="E6" i="36"/>
  <c r="E39" i="32"/>
  <c r="D8" i="34"/>
  <c r="D23" i="34" s="1"/>
  <c r="D47" i="34" s="1"/>
  <c r="D49" i="34" s="1"/>
  <c r="D6" i="36"/>
  <c r="D29" i="33"/>
  <c r="E69" i="10"/>
  <c r="E35" i="32" l="1"/>
  <c r="F35" i="32" s="1"/>
  <c r="G35" i="32" s="1"/>
  <c r="H35" i="32" s="1"/>
  <c r="I35" i="32" s="1"/>
  <c r="J35" i="32" s="1"/>
  <c r="K35" i="32" s="1"/>
  <c r="L35" i="32" s="1"/>
  <c r="L11" i="10"/>
  <c r="L14" i="10" s="1"/>
  <c r="L15" i="10"/>
  <c r="L18" i="10" s="1"/>
  <c r="D4" i="34"/>
  <c r="N30" i="32"/>
  <c r="P17" i="6"/>
  <c r="T16" i="6"/>
  <c r="A16" i="6"/>
  <c r="D34" i="32"/>
  <c r="D61" i="32" s="1"/>
  <c r="D2" i="32" s="1"/>
  <c r="E48" i="34"/>
  <c r="E49" i="34" s="1"/>
  <c r="N50" i="34"/>
  <c r="F48" i="34" l="1"/>
  <c r="F49" i="34" s="1"/>
  <c r="E29" i="32"/>
  <c r="E20" i="32" s="1"/>
  <c r="E31" i="32" s="1"/>
  <c r="D2" i="34"/>
  <c r="D2" i="33"/>
  <c r="E4" i="34"/>
  <c r="P18" i="6"/>
  <c r="A17" i="6"/>
  <c r="T17" i="6"/>
  <c r="G48" i="34" l="1"/>
  <c r="G49" i="34" s="1"/>
  <c r="G29" i="32" s="1"/>
  <c r="F29" i="32"/>
  <c r="F4" i="34"/>
  <c r="P19" i="6"/>
  <c r="A18" i="6"/>
  <c r="T18" i="6"/>
  <c r="N45" i="32"/>
  <c r="H48" i="34" l="1"/>
  <c r="H49" i="34" s="1"/>
  <c r="H29" i="32" s="1"/>
  <c r="G4" i="34"/>
  <c r="P20" i="6"/>
  <c r="A19" i="6"/>
  <c r="T19" i="6"/>
  <c r="I48" i="34" l="1"/>
  <c r="I49" i="34" s="1"/>
  <c r="I29" i="32" s="1"/>
  <c r="I20" i="32" s="1"/>
  <c r="I31" i="32" s="1"/>
  <c r="I5" i="36" s="1"/>
  <c r="H4" i="34"/>
  <c r="P21" i="6"/>
  <c r="A20" i="6"/>
  <c r="T20" i="6"/>
  <c r="I4" i="34" l="1"/>
  <c r="J48" i="34"/>
  <c r="J49" i="34" s="1"/>
  <c r="J29" i="32" s="1"/>
  <c r="F20" i="32"/>
  <c r="F31" i="32" s="1"/>
  <c r="F5" i="36" s="1"/>
  <c r="J4" i="34"/>
  <c r="P22" i="6"/>
  <c r="T21" i="6"/>
  <c r="A21" i="6"/>
  <c r="K48" i="34" l="1"/>
  <c r="K49" i="34" s="1"/>
  <c r="K29" i="32" s="1"/>
  <c r="K20" i="32" s="1"/>
  <c r="K31" i="32" s="1"/>
  <c r="K5" i="36" s="1"/>
  <c r="G20" i="32"/>
  <c r="G31" i="32" s="1"/>
  <c r="G5" i="36" s="1"/>
  <c r="P23" i="6"/>
  <c r="T22" i="6"/>
  <c r="A22" i="6"/>
  <c r="K4" i="34" l="1"/>
  <c r="L48" i="34"/>
  <c r="L49" i="34" s="1"/>
  <c r="L29" i="32" s="1"/>
  <c r="L20" i="32" s="1"/>
  <c r="L31" i="32" s="1"/>
  <c r="L5" i="36" s="1"/>
  <c r="H20" i="32"/>
  <c r="H31" i="32" s="1"/>
  <c r="H5" i="36" s="1"/>
  <c r="P24" i="6"/>
  <c r="A23" i="6"/>
  <c r="T23" i="6"/>
  <c r="L4" i="34" l="1"/>
  <c r="P25" i="6"/>
  <c r="T24" i="6"/>
  <c r="A24" i="6"/>
  <c r="A25" i="6" l="1"/>
  <c r="T25" i="6"/>
  <c r="P26" i="6"/>
  <c r="P27" i="6" l="1"/>
  <c r="A26" i="6"/>
  <c r="T26" i="6"/>
  <c r="P28" i="6" l="1"/>
  <c r="A27" i="6"/>
  <c r="T27" i="6"/>
  <c r="P29" i="6" l="1"/>
  <c r="A28" i="6"/>
  <c r="T28" i="6"/>
  <c r="P30" i="6" l="1"/>
  <c r="T29" i="6"/>
  <c r="A29" i="6"/>
  <c r="P31" i="6" l="1"/>
  <c r="T30" i="6"/>
  <c r="A30" i="6"/>
  <c r="P32" i="6" l="1"/>
  <c r="A31" i="6"/>
  <c r="T31" i="6"/>
  <c r="T32" i="6" l="1"/>
  <c r="A32" i="6"/>
  <c r="P33" i="6"/>
  <c r="A33" i="6" l="1"/>
  <c r="T33" i="6"/>
  <c r="P34" i="6"/>
  <c r="T34" i="6" l="1"/>
  <c r="A34" i="6"/>
  <c r="P35" i="6"/>
  <c r="A35" i="6" l="1"/>
  <c r="T35" i="6"/>
  <c r="P36" i="6"/>
  <c r="A36" i="6" l="1"/>
  <c r="T36" i="6"/>
  <c r="P37" i="6"/>
  <c r="T37" i="6" l="1"/>
  <c r="A37" i="6"/>
  <c r="P38" i="6"/>
  <c r="T38" i="6" l="1"/>
  <c r="A38" i="6"/>
  <c r="P39" i="6"/>
  <c r="A39" i="6" l="1"/>
  <c r="T39" i="6"/>
  <c r="P40" i="6"/>
  <c r="T40" i="6" l="1"/>
  <c r="A40" i="6"/>
  <c r="P41" i="6"/>
  <c r="A41" i="6" l="1"/>
  <c r="T41" i="6"/>
  <c r="P42" i="6"/>
  <c r="A42" i="6" l="1"/>
  <c r="T42" i="6"/>
  <c r="P43" i="6"/>
  <c r="A43" i="6" l="1"/>
  <c r="T43" i="6"/>
  <c r="P44" i="6"/>
  <c r="E38" i="32"/>
  <c r="F40" i="32" l="1"/>
  <c r="F38" i="32" s="1"/>
  <c r="F34" i="32" s="1"/>
  <c r="F61" i="32" s="1"/>
  <c r="F2" i="32" s="1"/>
  <c r="E34" i="32"/>
  <c r="E61" i="32"/>
  <c r="A44" i="6"/>
  <c r="T44" i="6"/>
  <c r="P45" i="6"/>
  <c r="G40" i="32" l="1"/>
  <c r="G38" i="32" s="1"/>
  <c r="H40" i="32" s="1"/>
  <c r="H38" i="32" s="1"/>
  <c r="F2" i="33"/>
  <c r="F2" i="34"/>
  <c r="T45" i="6"/>
  <c r="A45" i="6"/>
  <c r="P46" i="6"/>
  <c r="G34" i="32" l="1"/>
  <c r="G61" i="32" s="1"/>
  <c r="G2" i="32" s="1"/>
  <c r="G2" i="33" s="1"/>
  <c r="I40" i="32"/>
  <c r="I38" i="32" s="1"/>
  <c r="H34" i="32"/>
  <c r="H61" i="32" s="1"/>
  <c r="H2" i="32" s="1"/>
  <c r="T46" i="6"/>
  <c r="A46" i="6"/>
  <c r="P47" i="6"/>
  <c r="G2" i="34" l="1"/>
  <c r="H2" i="33"/>
  <c r="H2" i="34"/>
  <c r="J40" i="32"/>
  <c r="J38" i="32" s="1"/>
  <c r="I34" i="32"/>
  <c r="I61" i="32" s="1"/>
  <c r="I2" i="32" s="1"/>
  <c r="A47" i="6"/>
  <c r="T47" i="6"/>
  <c r="P48" i="6"/>
  <c r="I2" i="33" l="1"/>
  <c r="I2" i="34"/>
  <c r="K40" i="32"/>
  <c r="K38" i="32" s="1"/>
  <c r="J34" i="32"/>
  <c r="J61" i="32" s="1"/>
  <c r="T48" i="6"/>
  <c r="A48" i="6"/>
  <c r="P49" i="6"/>
  <c r="K34" i="32" l="1"/>
  <c r="K61" i="32" s="1"/>
  <c r="L40" i="32"/>
  <c r="L38" i="32" s="1"/>
  <c r="L34" i="32" s="1"/>
  <c r="A49" i="6"/>
  <c r="T49" i="6"/>
  <c r="P50" i="6"/>
  <c r="L61" i="32" l="1"/>
  <c r="L2" i="32" s="1"/>
  <c r="T50" i="6"/>
  <c r="A50" i="6"/>
  <c r="P51" i="6"/>
  <c r="L2" i="33" l="1"/>
  <c r="L2" i="34"/>
  <c r="A51" i="6"/>
  <c r="T51" i="6"/>
  <c r="P52" i="6"/>
  <c r="A52" i="6" l="1"/>
  <c r="T52" i="6"/>
  <c r="P53" i="6"/>
  <c r="T53" i="6" l="1"/>
  <c r="A53" i="6"/>
  <c r="P54" i="6"/>
  <c r="T54" i="6" l="1"/>
  <c r="A54" i="6"/>
  <c r="P55" i="6"/>
  <c r="A55" i="6" l="1"/>
  <c r="T55" i="6"/>
  <c r="P56" i="6"/>
  <c r="T56" i="6" l="1"/>
  <c r="A56" i="6"/>
  <c r="P57" i="6"/>
  <c r="A57" i="6" l="1"/>
  <c r="T57" i="6"/>
  <c r="P58" i="6"/>
  <c r="T58" i="6" l="1"/>
  <c r="A58" i="6"/>
  <c r="P59" i="6"/>
  <c r="A59" i="6" l="1"/>
  <c r="T59" i="6"/>
  <c r="P60" i="6"/>
  <c r="A60" i="6" l="1"/>
  <c r="T60" i="6"/>
  <c r="P61" i="6"/>
  <c r="T61" i="6" l="1"/>
  <c r="A61" i="6"/>
  <c r="P62" i="6"/>
  <c r="T62" i="6" l="1"/>
  <c r="A62" i="6"/>
  <c r="P63" i="6"/>
  <c r="T63" i="6" l="1"/>
  <c r="A63" i="6"/>
  <c r="P64" i="6"/>
  <c r="T64" i="6" l="1"/>
  <c r="A64" i="6"/>
  <c r="P65" i="6"/>
  <c r="A65" i="6" l="1"/>
  <c r="T65" i="6"/>
  <c r="P66" i="6"/>
  <c r="E33" i="11"/>
  <c r="C7" i="11"/>
  <c r="A66" i="6" l="1"/>
  <c r="T66" i="6"/>
  <c r="P67" i="6"/>
  <c r="C5" i="11"/>
  <c r="A67" i="6" l="1"/>
  <c r="T67" i="6"/>
  <c r="P68" i="6"/>
  <c r="C9" i="11"/>
  <c r="A68" i="6" l="1"/>
  <c r="T68" i="6"/>
  <c r="P69" i="6"/>
  <c r="D2" i="10"/>
  <c r="E2" i="10"/>
  <c r="T69" i="6" l="1"/>
  <c r="A69" i="6"/>
  <c r="P70" i="6"/>
  <c r="N2" i="10"/>
  <c r="N3" i="10"/>
  <c r="T70" i="6" l="1"/>
  <c r="A70" i="6"/>
  <c r="P71" i="6"/>
  <c r="T71" i="6" l="1"/>
  <c r="A71" i="6"/>
  <c r="P72" i="6"/>
  <c r="T72" i="6" l="1"/>
  <c r="A72" i="6"/>
  <c r="P73" i="6"/>
  <c r="A73" i="6" l="1"/>
  <c r="T73" i="6"/>
  <c r="P74" i="6"/>
  <c r="A74" i="6" l="1"/>
  <c r="T74" i="6"/>
  <c r="P75" i="6"/>
  <c r="A75" i="6" l="1"/>
  <c r="T75" i="6"/>
  <c r="P76" i="6"/>
  <c r="A76" i="6" l="1"/>
  <c r="T76" i="6"/>
  <c r="P77" i="6"/>
  <c r="T77" i="6" l="1"/>
  <c r="A77" i="6"/>
  <c r="P78" i="6"/>
  <c r="T78" i="6" l="1"/>
  <c r="A78" i="6"/>
  <c r="P79" i="6"/>
  <c r="T79" i="6" l="1"/>
  <c r="A79" i="6"/>
  <c r="P80" i="6"/>
  <c r="T80" i="6" l="1"/>
  <c r="A80" i="6"/>
  <c r="P81" i="6"/>
  <c r="A81" i="6" l="1"/>
  <c r="T81" i="6"/>
  <c r="P82" i="6"/>
  <c r="T82" i="6" l="1"/>
  <c r="A82" i="6"/>
  <c r="P83" i="6"/>
  <c r="A83" i="6" l="1"/>
  <c r="T83" i="6"/>
  <c r="P84" i="6"/>
  <c r="A84" i="6" l="1"/>
  <c r="T84" i="6"/>
  <c r="P85" i="6"/>
  <c r="E5" i="36"/>
  <c r="T85" i="6" l="1"/>
  <c r="A85" i="6"/>
  <c r="P86" i="6"/>
  <c r="E2" i="32"/>
  <c r="E2" i="33" s="1"/>
  <c r="T86" i="6" l="1"/>
  <c r="A86" i="6"/>
  <c r="E2" i="34"/>
  <c r="K2" i="32" l="1"/>
  <c r="K2" i="33" l="1"/>
  <c r="K2" i="34"/>
  <c r="N49" i="34" l="1"/>
  <c r="J20" i="32" s="1"/>
  <c r="J31" i="32" s="1"/>
  <c r="J2" i="32" l="1"/>
  <c r="J2" i="33" s="1"/>
  <c r="J5" i="36"/>
  <c r="N29" i="32"/>
  <c r="N2" i="32" l="1"/>
  <c r="J2" i="34"/>
  <c r="N2" i="34" s="1"/>
  <c r="N2" i="3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<sst xmlns="http://schemas.openxmlformats.org/spreadsheetml/2006/main" count="1420" uniqueCount="929">
  <si>
    <t>1.</t>
  </si>
  <si>
    <t>1.1.</t>
  </si>
  <si>
    <t>1.1.1.</t>
  </si>
  <si>
    <t>1.2.</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</si>
  <si>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</si>
  <si>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</si>
  <si>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</si>
  <si>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</si>
  <si>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</si>
  <si>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</si>
  <si>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</si>
  <si>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</si>
  <si>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</si>
  <si>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</si>
  <si>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</si>
  <si>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</si>
  <si>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</si>
  <si>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</si>
  <si>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</si>
  <si>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</si>
  <si>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</si>
  <si>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</si>
  <si>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</si>
  <si>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</si>
  <si>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</si>
  <si>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</si>
  <si>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</si>
  <si>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</si>
  <si>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</si>
  <si>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</si>
  <si>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</si>
  <si>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</si>
  <si>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</si>
  <si>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</si>
  <si>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</si>
  <si>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</si>
  <si>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</si>
  <si>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</si>
  <si>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</si>
  <si>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</si>
  <si>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</si>
  <si>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</si>
  <si>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</si>
  <si>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</si>
  <si>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</si>
  <si>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</si>
  <si>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</si>
  <si>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</si>
  <si>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</si>
  <si>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</si>
  <si>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</si>
  <si>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</si>
  <si>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</si>
  <si>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</si>
  <si>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</si>
  <si>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</si>
  <si>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</si>
  <si>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</si>
  <si>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</si>
  <si>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</si>
  <si>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</si>
  <si>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</si>
  <si>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</si>
  <si>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</si>
  <si>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</si>
  <si>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</si>
  <si>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</si>
  <si>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</si>
  <si>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</si>
  <si>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</si>
  <si>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</si>
  <si>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</si>
  <si>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</si>
  <si>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</si>
  <si>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</si>
  <si>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</si>
  <si>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</si>
  <si>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</si>
  <si>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</si>
  <si>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</si>
  <si>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</si>
  <si>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</si>
  <si>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</si>
  <si>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</si>
  <si>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</si>
  <si>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</si>
  <si>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</si>
  <si>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</si>
  <si>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</si>
  <si>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</si>
  <si>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</si>
  <si>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</si>
  <si>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</si>
  <si>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</si>
  <si>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</si>
  <si>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MATERIALUSIS TURTAS</t>
  </si>
  <si>
    <t>Žemė</t>
  </si>
  <si>
    <t>FINANSINIS TURTAS</t>
  </si>
  <si>
    <t>4.</t>
  </si>
  <si>
    <t>KITAS ILGALAIKIS TURTAS</t>
  </si>
  <si>
    <t>B.</t>
  </si>
  <si>
    <t>TRUMPALAIKIS TURTAS</t>
  </si>
  <si>
    <t>ATSARGOS</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</si>
  <si>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</si>
  <si>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</si>
  <si>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</si>
  <si>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</si>
  <si>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</si>
  <si>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</si>
  <si>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</si>
  <si>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</si>
  <si>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</si>
  <si>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</si>
  <si>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</si>
  <si>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</si>
  <si>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PERKAINOJIMO REZERVAS</t>
  </si>
  <si>
    <t>REZERVAI</t>
  </si>
  <si>
    <t>E.</t>
  </si>
  <si>
    <t>G.</t>
  </si>
  <si>
    <t>MOKĖTINOS SUMOS IR ĮSIPAREIGOJIMAI</t>
  </si>
  <si>
    <t>Skolos tiekėjams</t>
  </si>
  <si>
    <t>Su darbo santykiais susiję įsipareigojimai</t>
  </si>
  <si>
    <t>H.</t>
  </si>
  <si>
    <t>SUKAUPTOS SĄNAUDOS IR ATEINANČIŲ LAIKOTARPIŲ PAJAMOS</t>
  </si>
  <si>
    <t>Pelno (nuostolių) prognozės</t>
  </si>
  <si>
    <t>10.</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</si>
  <si>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</si>
  <si>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</si>
  <si>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</si>
  <si>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</si>
  <si>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</si>
  <si>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</si>
  <si>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</si>
  <si>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</si>
  <si>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</si>
  <si>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</si>
  <si>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</si>
  <si>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</si>
  <si>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Trumpalaikių skolų tiekėjams ir gautų avansų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</si>
  <si>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</si>
  <si>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</si>
  <si>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</si>
  <si>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</si>
  <si>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</si>
  <si>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Gauti dividendai, palūkanos</t>
  </si>
  <si>
    <t>Kitas investicinės veiklos pinigų srautų padidėjimas</t>
  </si>
  <si>
    <t>Kitas investicinės veiklos pinigų srautų sumažėjimas</t>
  </si>
  <si>
    <t>Grynieji investicinės veiklos pinigų srautai</t>
  </si>
  <si>
    <t>Finansinės veiklos pinigų srautai</t>
  </si>
  <si>
    <t>Sumokėtos palūkanos</t>
  </si>
  <si>
    <t>Kitų įmonės įsipareigojimų padidėjimas</t>
  </si>
  <si>
    <t>Kitų įmonės įsipareigojimų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</si>
  <si>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</si>
  <si>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</si>
  <si>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</si>
  <si>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</si>
  <si>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</si>
  <si>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</si>
  <si>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</si>
  <si>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</si>
  <si>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</si>
  <si>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</si>
  <si>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</si>
  <si>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</si>
  <si>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</si>
  <si>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</si>
  <si>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</si>
  <si>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</si>
  <si>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</si>
  <si>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1.2.1.</t>
  </si>
  <si>
    <t>1.2.2.</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</si>
  <si>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</si>
  <si>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</si>
  <si>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</si>
  <si>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</si>
  <si>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</si>
  <si>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</si>
  <si>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</si>
  <si>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</si>
  <si>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</si>
  <si>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</si>
  <si>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</si>
  <si>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</si>
  <si>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</si>
  <si>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</si>
  <si>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</si>
  <si>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</si>
  <si>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</si>
  <si>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</si>
  <si>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</si>
  <si>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</si>
  <si>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</si>
  <si>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</si>
  <si>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</si>
  <si>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</si>
  <si>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</si>
  <si>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</si>
  <si>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</si>
  <si>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</si>
  <si>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</si>
  <si>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</si>
  <si>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</si>
  <si>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</si>
  <si>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</si>
  <si>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</si>
  <si>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</si>
  <si>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</si>
  <si>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</si>
  <si>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</si>
  <si>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</si>
  <si>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</si>
  <si>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</si>
  <si>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</si>
  <si>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</si>
  <si>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</si>
  <si>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</si>
  <si>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</si>
  <si>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Žemės ūkio verslas</t>
  </si>
  <si>
    <t>Ne žemės ūkio verslas</t>
  </si>
  <si>
    <t>Verslo plėtra</t>
  </si>
  <si>
    <t>Verslo pradžia</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</si>
  <si>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</si>
  <si>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</si>
  <si>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</si>
  <si>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</si>
  <si>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</si>
  <si>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</si>
  <si>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</si>
  <si>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</si>
  <si>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</si>
  <si>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</si>
  <si>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</si>
  <si>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</si>
  <si>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</si>
  <si>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</si>
  <si>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</si>
  <si>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</si>
  <si>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</si>
  <si>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</si>
  <si>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</si>
  <si>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</si>
  <si>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</si>
  <si>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</si>
  <si>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</si>
  <si>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</si>
  <si>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</si>
  <si>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</si>
  <si>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</si>
  <si>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</si>
  <si>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</si>
  <si>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</si>
  <si>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</si>
  <si>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</si>
  <si>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</si>
  <si>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</si>
  <si>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</si>
  <si>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</si>
  <si>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</si>
  <si>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</si>
  <si>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</si>
  <si>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</si>
  <si>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</si>
  <si>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</si>
  <si>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</si>
  <si>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</si>
  <si>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</si>
  <si>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</si>
  <si>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</si>
  <si>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</si>
  <si>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</si>
  <si>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</si>
  <si>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</si>
  <si>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</si>
  <si>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</si>
  <si>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</si>
  <si>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</si>
  <si>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</si>
  <si>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</si>
  <si>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</si>
  <si>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</si>
  <si>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</si>
  <si>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</si>
  <si>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</si>
  <si>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</si>
  <si>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</si>
  <si>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</si>
  <si>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</si>
  <si>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</si>
  <si>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</si>
  <si>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</si>
  <si>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</si>
  <si>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</si>
  <si>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</si>
  <si>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</si>
  <si>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</si>
  <si>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</si>
  <si>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</si>
  <si>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</si>
  <si>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</si>
  <si>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</si>
  <si>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</si>
  <si>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</si>
  <si>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</si>
  <si>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</si>
  <si>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</si>
  <si>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</si>
  <si>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</si>
  <si>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</si>
  <si>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</si>
  <si>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</si>
  <si>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</si>
  <si>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</si>
  <si>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</si>
  <si>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</si>
  <si>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</si>
  <si>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</si>
  <si>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</si>
  <si>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</si>
  <si>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</si>
  <si>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</si>
  <si>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</si>
  <si>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</si>
  <si>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</si>
  <si>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</si>
  <si>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</si>
  <si>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</si>
  <si>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</si>
  <si>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9.2.1.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</si>
  <si>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</si>
  <si>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</si>
  <si>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</si>
  <si>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</si>
  <si>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</si>
  <si>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</si>
  <si>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</si>
  <si>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</si>
  <si>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</si>
  <si>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</si>
  <si>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</si>
  <si>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</si>
  <si>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</si>
  <si>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</si>
  <si>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</si>
  <si>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</si>
  <si>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</si>
  <si>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</si>
  <si>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</si>
  <si>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</si>
  <si>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</si>
  <si>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</si>
  <si>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</si>
  <si>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</si>
  <si>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</si>
  <si>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</si>
  <si>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</si>
  <si>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</si>
  <si>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</si>
  <si>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</si>
  <si>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</si>
  <si>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</si>
  <si>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</si>
  <si>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</si>
  <si>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</si>
  <si>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</si>
  <si>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</si>
  <si>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</si>
  <si>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</si>
  <si>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</si>
  <si>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</si>
  <si>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</si>
  <si>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</si>
  <si>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</si>
  <si>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</si>
  <si>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</si>
  <si>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</si>
  <si>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</si>
  <si>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</si>
  <si>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</si>
  <si>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</si>
  <si>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</si>
  <si>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</si>
  <si>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</si>
  <si>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</si>
  <si>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</si>
  <si>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</si>
  <si>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</si>
  <si>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</si>
  <si>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</si>
  <si>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</si>
  <si>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</si>
  <si>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</si>
  <si>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</si>
  <si>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</si>
  <si>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</si>
  <si>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</si>
  <si>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</si>
  <si>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</si>
  <si>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</si>
  <si>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9.3.1.</t>
  </si>
  <si>
    <t xml:space="preserve">9.3.2. </t>
  </si>
  <si>
    <t>9.3.3.</t>
  </si>
  <si>
    <t>9.3.4.</t>
  </si>
  <si>
    <t>9.3.5.</t>
  </si>
  <si>
    <t>9.3.6.</t>
  </si>
  <si>
    <t>9.3.7.</t>
  </si>
  <si>
    <t>9.3.3.2.</t>
  </si>
  <si>
    <t>9.3.3.1.</t>
  </si>
  <si>
    <t>9.3.1.1.</t>
  </si>
  <si>
    <t>9.3.1.2.</t>
  </si>
  <si>
    <t>9.3.1.3.</t>
  </si>
  <si>
    <t>9.3.1.4.</t>
  </si>
  <si>
    <t>9.3.1.6.</t>
  </si>
  <si>
    <t>9.3.1.7.</t>
  </si>
  <si>
    <t>9.3.1.8.</t>
  </si>
  <si>
    <t>9.3.1.9.</t>
  </si>
  <si>
    <t>9.3.1.10.</t>
  </si>
  <si>
    <t>9.3.1.11.</t>
  </si>
  <si>
    <t>9.3.1.13.</t>
  </si>
  <si>
    <t>9.3.1.14.</t>
  </si>
  <si>
    <t>9.3.1.15.</t>
  </si>
  <si>
    <t>9.3.1.16.</t>
  </si>
  <si>
    <t>9.3.1.17.</t>
  </si>
  <si>
    <t>9.3.2.1.</t>
  </si>
  <si>
    <t>9.3.2.2.</t>
  </si>
  <si>
    <t>9.3.2.3.</t>
  </si>
  <si>
    <t>9.3.2.4.</t>
  </si>
  <si>
    <t>9.3.2.5.</t>
  </si>
  <si>
    <t>9.3.2.6.</t>
  </si>
  <si>
    <t>9.3.2.7.</t>
  </si>
  <si>
    <t>9.3.2.8.</t>
  </si>
  <si>
    <t>Žalsvos spalvos lengeliuose gali būti pateikta svarbi informacija, kaip pildyti verslo plano eilutę, arba gali būti gautas pranešimas ar ši eilutė užpildyta teisingai.</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</si>
  <si>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</si>
  <si>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</si>
  <si>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</si>
  <si>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</si>
  <si>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</si>
  <si>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</si>
  <si>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</si>
  <si>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</si>
  <si>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t>Palūkanos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</si>
  <si>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</si>
  <si>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</si>
  <si>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t>
  </si>
  <si>
    <t>Kito ilgalaikio turto, įskaitant biologinį, sumažėjimas (padidėjimas)</t>
  </si>
  <si>
    <t>Iš viso investicijų iki</t>
  </si>
  <si>
    <t>9.2.3.</t>
  </si>
  <si>
    <t>9.2.4.</t>
  </si>
  <si>
    <t>9.2.5.</t>
  </si>
  <si>
    <t>9.2.6.</t>
  </si>
  <si>
    <t>9.2.7.</t>
  </si>
  <si>
    <t>9.3.1.12.</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</si>
  <si>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</si>
  <si>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</si>
  <si>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</si>
  <si>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</si>
  <si>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</si>
  <si>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</si>
  <si>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</si>
  <si>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</si>
  <si>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</si>
  <si>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</si>
  <si>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</si>
  <si>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</si>
  <si>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</si>
  <si>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</si>
  <si>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</si>
  <si>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</si>
  <si>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</si>
  <si>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</si>
  <si>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</si>
  <si>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</si>
  <si>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</si>
  <si>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</si>
  <si>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</si>
  <si>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</si>
  <si>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</si>
  <si>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</si>
  <si>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</si>
  <si>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</si>
  <si>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</si>
  <si>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</si>
  <si>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</si>
  <si>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</si>
  <si>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</si>
  <si>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</si>
  <si>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</si>
  <si>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</si>
  <si>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</si>
  <si>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</si>
  <si>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</si>
  <si>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</si>
  <si>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</si>
  <si>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</si>
  <si>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</si>
  <si>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</si>
  <si>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</si>
  <si>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</si>
  <si>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</si>
  <si>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</si>
  <si>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</si>
  <si>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</si>
  <si>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</si>
  <si>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</si>
  <si>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</si>
  <si>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</si>
  <si>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</si>
  <si>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</si>
  <si>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</si>
  <si>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</si>
  <si>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</si>
  <si>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</si>
  <si>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</si>
  <si>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</si>
  <si>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</si>
  <si>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</si>
  <si>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</si>
  <si>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</si>
  <si>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</si>
  <si>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</si>
  <si>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</si>
  <si>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</si>
  <si>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</si>
  <si>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</si>
  <si>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</si>
  <si>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</si>
  <si>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</si>
  <si>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</si>
  <si>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</si>
  <si>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</si>
  <si>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</si>
  <si>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</si>
  <si>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</si>
  <si>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</si>
  <si>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</si>
  <si>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</si>
  <si>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</si>
  <si>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</si>
  <si>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</si>
  <si>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</si>
  <si>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</si>
  <si>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</si>
  <si>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</si>
  <si>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</si>
  <si>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</si>
  <si>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</si>
  <si>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</si>
  <si>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Rausvas langelis reiškia, kad duomenys yra neteisingai ar tik dalinai įvesti. Jei žalsvame stulpelyje "Pastabos" gaunamas pranešimas  "Klaida! ...", jame nurodomas klaidos pobūdis.</t>
  </si>
  <si>
    <t>Dokumento antraštė</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</si>
  <si>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</si>
  <si>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</si>
  <si>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</si>
  <si>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</si>
  <si>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</si>
  <si>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Pagal Vietos projektų, įgyvendinamų bendruomenių inicijuotos vietos plėtros būdu, administravimo taisykles:</t>
  </si>
  <si>
    <t>9.1.2.2.</t>
  </si>
  <si>
    <t>9.1.5.</t>
  </si>
  <si>
    <t>9.1.5.1.</t>
  </si>
  <si>
    <t>9.1.5.2.</t>
  </si>
  <si>
    <t>9.1.5.3</t>
  </si>
  <si>
    <t>9.1.6.</t>
  </si>
  <si>
    <t>9.1.6.1.</t>
  </si>
  <si>
    <t>9.1.6.2.</t>
  </si>
  <si>
    <t>9.1.7.</t>
  </si>
  <si>
    <t>9.1.8.</t>
  </si>
  <si>
    <t>9.1.9.</t>
  </si>
  <si>
    <t>9.1.10.</t>
  </si>
  <si>
    <t>9.1.11.</t>
  </si>
  <si>
    <t>9.1.12.</t>
  </si>
  <si>
    <t>9.1.13.</t>
  </si>
  <si>
    <t>9.1.14.</t>
  </si>
  <si>
    <t>9.1.14.1.</t>
  </si>
  <si>
    <t>9.1.14.2.</t>
  </si>
  <si>
    <t>9.1.14.3.</t>
  </si>
  <si>
    <t>9.1.2.1.</t>
  </si>
  <si>
    <t>9.1.2.3.</t>
  </si>
  <si>
    <t>9.1.2.4.</t>
  </si>
  <si>
    <t>9.1.2.5.</t>
  </si>
  <si>
    <t>9.1.2.6.</t>
  </si>
  <si>
    <t>9.1.2.7.</t>
  </si>
  <si>
    <t>9.1.15.</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</si>
  <si>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</si>
  <si>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</si>
  <si>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</si>
  <si>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</si>
  <si>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</si>
  <si>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</si>
  <si>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</si>
  <si>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</si>
  <si>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</si>
  <si>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</si>
  <si>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</si>
  <si>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</si>
  <si>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</si>
  <si>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</si>
  <si>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</si>
  <si>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</si>
  <si>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</si>
  <si>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</si>
  <si>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</si>
  <si>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</si>
  <si>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</si>
  <si>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</si>
  <si>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</si>
  <si>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</si>
  <si>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</si>
  <si>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</si>
  <si>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</si>
  <si>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</si>
  <si>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</si>
  <si>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</si>
  <si>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</si>
  <si>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</si>
  <si>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</si>
  <si>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</si>
  <si>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</si>
  <si>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</si>
  <si>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</si>
  <si>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</si>
  <si>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</si>
  <si>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</si>
  <si>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</si>
  <si>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</si>
  <si>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</si>
  <si>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</si>
  <si>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</si>
  <si>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</si>
  <si>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</si>
  <si>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</si>
  <si>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</si>
  <si>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9.2.1.1.</t>
  </si>
  <si>
    <t>9.2.1.2.</t>
  </si>
  <si>
    <t>9.2.1.3.</t>
  </si>
  <si>
    <t>9.2.1.4.</t>
  </si>
  <si>
    <t>9.2.1.4.1.</t>
  </si>
  <si>
    <t>9.2.1.4.2.</t>
  </si>
  <si>
    <t>9.2.1.5.</t>
  </si>
  <si>
    <t>9.2.2.1.</t>
  </si>
  <si>
    <t>9.2.2.2.</t>
  </si>
  <si>
    <t>9.2.2.3.</t>
  </si>
  <si>
    <t>Kitos</t>
  </si>
  <si>
    <t>9.2.2.3.1.</t>
  </si>
  <si>
    <t>9.2.2.3.2.</t>
  </si>
  <si>
    <t>9.2.2.3.3.</t>
  </si>
  <si>
    <t>9.2.2.3.4.</t>
  </si>
  <si>
    <t>9.2.2.3.5.</t>
  </si>
  <si>
    <t>Kitas materialusis turtas</t>
  </si>
  <si>
    <t>Ilgalaikių skolų einamųjų metų dalis</t>
  </si>
  <si>
    <t>Veiklos rezultatų ataskaitos prognozės, Eur</t>
  </si>
  <si>
    <t>Balanso prognozės, Eur</t>
  </si>
  <si>
    <t>Pinigų srautų ataskaitos prognozės, Eur</t>
  </si>
  <si>
    <t>9.2.1.4.3.</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</si>
  <si>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</si>
  <si>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</si>
  <si>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</si>
  <si>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</si>
  <si>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</si>
  <si>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</si>
  <si>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</si>
  <si>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</si>
  <si>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</si>
  <si>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</si>
  <si>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</si>
  <si>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</si>
  <si>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</si>
  <si>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</si>
  <si>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</si>
  <si>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</si>
  <si>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</si>
  <si>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</si>
  <si>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</si>
  <si>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</si>
  <si>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</si>
  <si>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</si>
  <si>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</si>
  <si>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</si>
  <si>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</si>
  <si>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</si>
  <si>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</si>
  <si>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</si>
  <si>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</si>
  <si>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</si>
  <si>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</si>
  <si>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</si>
  <si>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</si>
  <si>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</si>
  <si>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</si>
  <si>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</si>
  <si>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</si>
  <si>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</si>
  <si>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</si>
  <si>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</si>
  <si>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</si>
  <si>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</si>
  <si>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</si>
  <si>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</si>
  <si>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</si>
  <si>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</si>
  <si>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</si>
  <si>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</si>
  <si>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</si>
  <si>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</si>
  <si>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</si>
  <si>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</si>
  <si>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</si>
  <si>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</si>
  <si>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</si>
  <si>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</si>
  <si>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</si>
  <si>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</si>
  <si>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</si>
  <si>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</si>
  <si>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</si>
  <si>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</si>
  <si>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</si>
  <si>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</si>
  <si>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</si>
  <si>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</si>
  <si>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</si>
  <si>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</si>
  <si>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</si>
  <si>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</si>
  <si>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</si>
  <si>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Gauta finansinės nuomos (lizingo) suma</t>
  </si>
  <si>
    <t>9.3.3.3.</t>
  </si>
  <si>
    <t>9.3.3.4.</t>
  </si>
  <si>
    <t>9.3.3.5.</t>
  </si>
  <si>
    <t>9.3.3.6.</t>
  </si>
  <si>
    <t>9.3.3.7.</t>
  </si>
  <si>
    <t>9.3.3.8.</t>
  </si>
  <si>
    <t>9.3.3.9.</t>
  </si>
  <si>
    <t>9.3.3.10.</t>
  </si>
  <si>
    <t>9.3.3.11.</t>
  </si>
  <si>
    <t>DALININKŲ KAPITALAS</t>
  </si>
  <si>
    <t>NELIEČIAMSIS KAPITALAS</t>
  </si>
  <si>
    <t>SUKAUPTAS VEIKLOS REZULTATAS</t>
  </si>
  <si>
    <t>KITI REZERVAI</t>
  </si>
  <si>
    <t>Gauti dalininkų įnašai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</si>
  <si>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</si>
  <si>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</si>
  <si>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</si>
  <si>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</si>
  <si>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</si>
  <si>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</si>
  <si>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</si>
  <si>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</si>
  <si>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</si>
  <si>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</si>
  <si>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</si>
  <si>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</si>
  <si>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</si>
  <si>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</si>
  <si>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</si>
  <si>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</si>
  <si>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</si>
  <si>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</si>
  <si>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</si>
  <si>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</si>
  <si>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</si>
  <si>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</si>
  <si>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</si>
  <si>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</si>
  <si>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</si>
  <si>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</si>
  <si>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</si>
  <si>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</si>
  <si>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</si>
  <si>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</si>
  <si>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</si>
  <si>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</si>
  <si>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</si>
  <si>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</si>
  <si>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</si>
  <si>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t>Finansavimo sumos, susijusios su projekto investicijomis</t>
  </si>
  <si>
    <t>Finansavimo sumos iš ES, valstybės ir savivaldybės biudžetų, išskyrus finansavimą šio projekto investicijoms</t>
  </si>
  <si>
    <t>Finansavimo sumų iš ES, valstybės ir savivaldybės biudžetų, išskyrus finansavimą šio projekto investicijoms, panaudojimo pajamos</t>
  </si>
  <si>
    <t>Finansavimo sumų, susijusios su projekto investicijomis, panaudojimo pajamos</t>
  </si>
  <si>
    <t>Gautos finansavimo sumos, susijusios su projekto investicijomis</t>
  </si>
  <si>
    <t>Gautos finansavimo sumos iš ES, valstybės ir savivaldybės biudžetų, išskyrus finansavimą šio projekto investicijoms</t>
  </si>
  <si>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</si>
  <si>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</si>
  <si>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</si>
  <si>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</si>
  <si>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</si>
  <si>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</si>
  <si>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</si>
  <si>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</si>
  <si>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</si>
  <si>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</si>
  <si>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</si>
  <si>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</si>
  <si>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</si>
  <si>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</si>
  <si>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</si>
  <si>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</si>
  <si>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</si>
  <si>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</si>
  <si>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</si>
  <si>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</si>
  <si>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</si>
  <si>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</si>
  <si>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Neplanuojama. Prognozuojamu laikotarpiu nematerialiojo ir ilgalaikio materialiojo turto perleidimo pelnas (nuostolis) atsispindi 9.3.2.6 arba 9.3.2.7 eil.</t>
  </si>
  <si>
    <t>Paramos suma apskaičiuojama automatiškai, remiantis 5 skyriaus duomenimis. 5 skyriuje būtina teisingai įvesti paramos dydį ir jos gavimo datą (-as).</t>
  </si>
  <si>
    <t>Prognozuojamu laikotarpiu gali būti planuojamos tik ilgalaikio turto perleidimo sąnaudos.</t>
  </si>
  <si>
    <t>Gauti ir panaudoti nario mokestis ir parama.</t>
  </si>
  <si>
    <t>Įskaitant ilgalaikį biologinį turtą.</t>
  </si>
  <si>
    <t>9.3.3.12.</t>
  </si>
  <si>
    <t>Problema nėra kritinė. Pinigų srautuose pinigų likutis skaičiuojamas teisingai, tačiau pagrindinės veiklos pinigų srautas, gali būti atvaizduotas neteisingai. Jei NVO būtų skaičiuojamas paskolų padengimo rodiklis, FA formas reikėtų tikslinti.</t>
  </si>
  <si>
    <t>9.1.12.1.</t>
  </si>
  <si>
    <t>9.1.12.2.</t>
  </si>
  <si>
    <t>9.1.16.</t>
  </si>
  <si>
    <t>9.1.17.</t>
  </si>
  <si>
    <t>9.1.17.1.</t>
  </si>
  <si>
    <t>9.1.17.2.</t>
  </si>
  <si>
    <t>9.1.18.</t>
  </si>
  <si>
    <t>9.1.18.1.</t>
  </si>
  <si>
    <t>9.1.18.2.</t>
  </si>
  <si>
    <t>9.1.18.4.</t>
  </si>
  <si>
    <t>9.1.18.3.</t>
  </si>
  <si>
    <t>9.1.18.6.</t>
  </si>
  <si>
    <t>9.1.18.7.</t>
  </si>
  <si>
    <t>Šis straipsnis nesusietas su Veiklos rezultatų ir Pinigų srautų ataskaitomis. Jei šiame straipsnyje planuojami pokyčiai, juos būtina susieti su Pinigų srautų ataskaitos straisniu "Kitų įmonės įsipareigojimų padidėjimas" ir Veiklos rezultatų ataskaitos straipsniu "Kitos finansavimo pajamos".</t>
  </si>
  <si>
    <t>7.4.</t>
  </si>
  <si>
    <t>7.4.1.</t>
  </si>
  <si>
    <t>Pareiškėjas</t>
  </si>
  <si>
    <t>Verslo subjektai</t>
  </si>
  <si>
    <t>Asociacijos ir viešosios įstaigos</t>
  </si>
  <si>
    <t>Finansinės investicinės veiklos sąnaudos:</t>
  </si>
  <si>
    <t>Pokyčiai neplanuojami.</t>
  </si>
  <si>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(9.3.2.3. ir 9.3.2.4. eil.),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</si>
  <si>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Formulė ataskaitiniais metais gali būti ištrinta ir įrašyti duomenys iš apskaitos.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</si>
  <si>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</si>
  <si>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Prognozuojamu laikotarpiu eliminuojamos tik palūkanos. Ataskaitiniais metais, jei be palūkanų buvo kitų efektų, formulę ištrinkite ir įrašykite teisingą reikšmę.</t>
    </r>
  </si>
  <si>
    <r>
      <rPr>
        <sz val="9"/>
        <color rgb="FFC00000"/>
        <rFont val="Times New Roman"/>
        <family val="1"/>
        <charset val="186"/>
      </rPr>
      <t xml:space="preserve">Atkreipkite dėmesį! </t>
    </r>
    <r>
      <rPr>
        <sz val="9"/>
        <color theme="1"/>
        <rFont val="Times New Roman"/>
        <family val="1"/>
        <charset val="186"/>
      </rPr>
      <t>Balanso straipsnis "Finansinis turtas" nėra susietas su šia pinigų srautų ataskaitos eilute.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</si>
  <si>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Balanso straipsnis "Finansinis turtas" nėra susietas su šia pinigų srautų ataskaitos eilute. Planuoti ateičiai nerekomenduojama. Duomenys gali būti įvesti, jei toks faktas yra įvykęs arba tikrai žinoma, kad įvyks.</t>
    </r>
  </si>
  <si>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</si>
  <si>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</si>
  <si>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</si>
  <si>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</si>
  <si>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</si>
  <si>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</si>
  <si>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</si>
  <si>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</si>
  <si>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</si>
  <si>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</si>
  <si>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</si>
  <si>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</si>
  <si>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</si>
  <si>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</si>
  <si>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</si>
  <si>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</si>
  <si>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</si>
  <si>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</si>
  <si>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</si>
  <si>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</si>
  <si>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</si>
  <si>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</si>
  <si>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</si>
  <si>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</si>
  <si>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</si>
  <si>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</si>
  <si>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</si>
  <si>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</si>
  <si>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</si>
  <si>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</si>
  <si>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</si>
  <si>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</si>
  <si>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</si>
  <si>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</si>
  <si>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</si>
  <si>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</si>
  <si>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</si>
  <si>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</si>
  <si>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Pagal turto pobūdį priskirkite kitai materialaus turto grupei (6 skyrius), pvz., grupei "Pastatai ir statiniai".</t>
  </si>
  <si>
    <t>Pagal turto pobūdį priskirkite kitai materialaus turto grupei (6 skyrius).</t>
  </si>
  <si>
    <t>Paaiškinimas reikalingas tik tada, kai naudojamas kitoks nei 15 proc. tarifas.</t>
  </si>
  <si>
    <t>Prognozuojamu laikotarpiu gali būti planuojamos tik ilgalaikio turto perleidimo pajamos.</t>
  </si>
  <si>
    <t>VERSLO PLANAS 
(SOCIALINIS VERSLAS/BENDRUOMENINIS VERSLAS/VIEŠŲJŲ PASLAUGŲ PERDAVIMAS)</t>
  </si>
  <si>
    <t xml:space="preserve">Įrašykite pareiškėjo pavadinimą </t>
  </si>
  <si>
    <t>Įrašykite adresą ir kontaktinius duomenis</t>
  </si>
  <si>
    <t>Esamos ir planuojamos ekonominės, socialinės/bendruomeninės/viešųjų paslaugų veiklos/-ų apibūdinimas</t>
  </si>
  <si>
    <t>Sekantys metai</t>
  </si>
  <si>
    <t>9.1_nvo</t>
  </si>
  <si>
    <t>9.2_nvo</t>
  </si>
  <si>
    <t>9.3_nvo</t>
  </si>
  <si>
    <t>10_nvo</t>
  </si>
  <si>
    <t>≥ 1 proc.</t>
  </si>
  <si>
    <t>≤ 0,65</t>
  </si>
  <si>
    <t>1.2.3.</t>
  </si>
  <si>
    <t>2.3.</t>
  </si>
  <si>
    <t>Steigimo dokumentuose numatyta socialinė/bendruomeninė misija</t>
  </si>
  <si>
    <t>Nurodomos steigimo dokumentų nuostatos, atliepiančios planuojamą verslą</t>
  </si>
  <si>
    <r>
      <t xml:space="preserve">Apibūdinama esama ir planuojama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t>
    </r>
    <r>
      <rPr>
        <sz val="9"/>
        <color rgb="FFFF0000"/>
        <rFont val="Calibri"/>
        <family val="2"/>
        <charset val="186"/>
        <scheme val="minor"/>
      </rPr>
      <t>Nurodomi, kokie bus reikalingi leidimai ir/arba licencijos įgyvendinus projektą (jei numatomam verslui vykdyti jie privalomi).</t>
    </r>
  </si>
  <si>
    <t>Verslo schema ir socialinio poveikio procesai</t>
  </si>
  <si>
    <t xml:space="preserve">Apibūdinama verslo vykdymo schema ir socialinio poveikio procesai  (paaiškinamas pvz., funkcijų pasiskirstymas tarp darbuotojų; nurodoma, kokioms verslą apimančioms veiklos dalims bus samdomi subrangovai ir pan.Nurodoma, kaip bus matuojamas socialinio poveikio rezultatas.
</t>
  </si>
  <si>
    <t>Planuojamo gauti pelno reinvestavimo socialiniam poveikiui planas</t>
  </si>
  <si>
    <t>Aprašomas gauto pelno iš vykdomos veiklos reinvestavimo socialinio poveikio tikslams ir rodikliams pasiekti reikalavimai (reinvestavimas apima ir investicijas į verslo infrastruktūros kūrimą, plėtrą, įrangą ar procesus, išskyrus įstatinio kapitalo didinimą (kai taikoma), kai tokios investicijos gali turėti tiesioginės įtakos geresniems socialinio poveikio rezultatams, atitinkamai nurodant reinvestuojamo pelno dalies atitiktį.</t>
  </si>
  <si>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valdantis  ne mažiau  kaip 51 proc. akcijų ar kt./turi sprendžiamąją galią,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</si>
  <si>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valdantis  ne mažiau  kaip 51 proc. akcijų ar kt./turi sprendžiamąją galią,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</si>
  <si>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valdantis  ne mažiau  kaip 51 proc. akcijų ar kt./turi sprendžiamąją galią, kaip nurodyta Gairėse.</t>
    </r>
  </si>
  <si>
    <r>
      <rPr>
        <b/>
        <sz val="8"/>
        <color theme="1"/>
        <rFont val="Calibri"/>
        <family val="2"/>
        <charset val="186"/>
        <scheme val="minor"/>
      </rPr>
      <t>Bendruomeninio verslo projektas:</t>
    </r>
    <r>
      <rPr>
        <sz val="8"/>
        <color theme="1"/>
        <rFont val="Calibri"/>
        <family val="2"/>
        <charset val="186"/>
        <scheme val="minor"/>
      </rPr>
      <t xml:space="preserve"> Bendruomeninė organizacija, atitinkanti Lietuvos Respublikos bendruomeninių organizacijų plėtros įstatymą ir projekto paraiškos pateikimo dieną turinti ne mažiau kaip 30 narių (narių sąrašas pateikiamas su projekto paraiška)</t>
    </r>
  </si>
  <si>
    <r>
      <rPr>
        <b/>
        <sz val="8"/>
        <color theme="1"/>
        <rFont val="Calibri"/>
        <family val="2"/>
        <charset val="186"/>
        <scheme val="minor"/>
      </rPr>
      <t>Viešųjų paslaugų perdavimo projektas</t>
    </r>
    <r>
      <rPr>
        <sz val="8"/>
        <color theme="1"/>
        <rFont val="Calibri"/>
        <family val="2"/>
        <charset val="186"/>
        <scheme val="minor"/>
      </rPr>
      <t>: NVO veikla teikia naudą ne tik jos dalyviams, bet ir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ir pareiškėjas yra suderinęs su savivaldybe perimamas viešąsias paslaugas (jų dalį) arba informavęs ją apie naujų arba papildomų viešųjų paslaugų teikimą.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</si>
  <si>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</si>
  <si>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*S</t>
    </r>
    <r>
      <rPr>
        <b/>
        <sz val="7"/>
        <color theme="1"/>
        <rFont val="Calibri"/>
        <family val="2"/>
        <charset val="186"/>
        <scheme val="minor"/>
      </rPr>
      <t>ocialinio ir bendruomeninio verslo vykdymo bei viešųjų paslaugų perdavimo projektų, pateiktų pagal Lietuvos žemės ūkio ir kaimo plėtros 2023–2027 metų strateginio plano intervencines priemones, gairės:</t>
    </r>
    <r>
      <rPr>
        <sz val="7"/>
        <color theme="1"/>
        <rFont val="Calibri"/>
        <family val="2"/>
        <charset val="186"/>
        <scheme val="minor"/>
      </rPr>
      <t xml:space="preserve">
Gairėmis turi vadovautis pareiškėjai, rengdami ir teikdami projektų paramos paraiškas, ir  paramos gavėjai, įgyvendindami projektus, finansuojamus pagal SP intervencinę priemonę „Bendruomenių inicijuota vietos plėtra (LEADER)“ (toliau – LEADER) ir vietos plėtros strategijas, įgyvendinamas bendruomenių inicijuotos vietos plėtros būdu (toliau – vietos projektai), ir SP intervencinę priemonę „Sumanieji kaimai“ (toliau – SK), įgyvendinamą pagal sumanaus kaimo strategijas, taip pat vietos veiklos grupės (toliau – VVG) ir institucijos, atliekančios projektų paraiškų atranką, vertinimą ir projektų įgyvendinimo priežiūrą, kai rengiami: 
3.1. socialinio verslo, veikiančio pagal modelį, kai išnaudojant rinkos mechanizmus, pelno siekimas susiejamas su visuomenei naudingais tikslais ir prioritetais, remiamasi socialiai atsakingo verslo bei viešojo ir privataus sektorių partnerystės nuostatomis, taikomos socialinės inovacijos, vietos ir SK projektai; 
3.2. bendruomeninio verslo, veikiančio pagal modelį, kai pagal SP remiama bendruomenės ekonominė veikla vykdoma remiantis socialiai atsakingo verslo nuostatomis, o gaunamas pelnas skiriamas tą veiklą vykdančios organizacijos (išskyrus viešojo sektoriaus organizacijas) veiklai užtikrinti, aktualioms bendruomenės problemoms spręsti, vietos ir SK projektai; 
3.3. viešųjų paslaugų perdavimo projekto, veikiančio pagal modelį, kai viešosios paslaugos (socialinės, švietimo, mokslo, kultūros, sporto ir kitos įstatymų numatytos paslaugos) anksčiau buvo teikiamos valstybės ar savivaldybių įsteigtų specialių įstaigų bei organizacijų, ir yra visa apimtimi ar iš dalies perduodamos teikti organizacijoms (ne biudžetinėms įstaigoms), arba organizacijų (ne biudžetinių įstaigų) organizuojamos naujos viešosios paslaugos, kurios nebuvo teikiamos jų veiklos teritorijoje, tačiau jų poreikis yra, arba viešosios paslaugos yra teikiamos valstybės ar savivaldybių įsteigtų specialių įstaigų bei organizacijų, tačiau jų apimtys nėra pakankamos ar kokybė neatitinka vartotojų lūkesčių (poreikis grindžiamas dokumentais) ir organizacijos (ne biudžetinės įstaigos) imasi teikti jas (visais atvejais turi būti siekiama išmatuojamo teigiamo socialinio poveikio visuomenei ar jos daliai), vietos ir SK projektai.</t>
    </r>
  </si>
  <si>
    <r>
      <rPr>
        <b/>
        <sz val="8"/>
        <color theme="1"/>
        <rFont val="Calibri"/>
        <family val="2"/>
        <charset val="186"/>
        <scheme val="minor"/>
      </rPr>
      <t>Bendruomeninio verslo projektas:</t>
    </r>
    <r>
      <rPr>
        <sz val="8"/>
        <color theme="1"/>
        <rFont val="Calibri"/>
        <family val="2"/>
        <charset val="186"/>
        <scheme val="minor"/>
      </rPr>
      <t xml:space="preserve">  Viešoji įstaiga, kurios pagrindinis steigėjas ir (ar) dalininkas, turintis ne mažiau kaip 51 proc. dalių (vertinama pagal VĮ Registrų centro JAR ir JADIS duomenis), turi būti bendruomeninės organizacijos</t>
    </r>
  </si>
  <si>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</si>
  <si>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t>Planuojamo verslo rūšis*</t>
  </si>
  <si>
    <t>Planuojamo verslo rūšis</t>
  </si>
  <si>
    <t xml:space="preserve">Socialinis verslas </t>
  </si>
  <si>
    <t>Bendruomeninis verslas</t>
  </si>
  <si>
    <t>Viešųjų paslaugų prieinamumo didinimas (viešųjų paslaugų perdavimas)</t>
  </si>
  <si>
    <t>Ši dalis nepildoma, kai teikiamas viešųjų paslaugų prieinamumo ( viešųjų paslaugų perdavimo) projektas</t>
  </si>
  <si>
    <t>Pažymėta laukelio spalva</t>
  </si>
  <si>
    <t>Paaiškinimas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</si>
  <si>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suvedama prašoma informacija. </t>
    </r>
  </si>
  <si>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</si>
  <si>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Laukas nepildomas. Skaičiavimui suvesta formulė arba tekstas.</t>
  </si>
  <si>
    <t>Turi būti tokios spalvos</t>
  </si>
  <si>
    <t>visus paversti mėlynais</t>
  </si>
  <si>
    <t>visus paversti žaliais kaip paraiškos formoje</t>
  </si>
  <si>
    <t>visus paversti pilkais</t>
  </si>
  <si>
    <t xml:space="preserve">pirmiausia visur nuimti žalią verslo plane </t>
  </si>
  <si>
    <t>tegu lieka</t>
  </si>
  <si>
    <t>Baltos spalvos lengelis užrakintas ir negali būti redaguojamas. Laukas nepildomas. Skaičiavimui suvesta formulė arba tekstas.</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</si>
  <si>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</si>
  <si>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 xml:space="preserve">Verslo plane visa informacija rašoma tik į pilkos spalvos langelius. Privalomai pildomas laukas (pildo vietos projekto pareiškėjas), suvedama prašoma informacija. </t>
  </si>
  <si>
    <t>(Verslo plano pagal Lietuvos žemės ūkio ir kaimo plėtros 2023–2027 metų strateginio plano intervencinę  priemonę „Bendruomenių inicijuota vietos plėtra (LEADER)“ forma, skirta socialinio verslo / bendruomeninio verslo / viešųjų paslaugų perdavimo projektams)</t>
  </si>
  <si>
    <t>jdnv0wri'Fp odk/ls</t>
  </si>
  <si>
    <t xml:space="preserve"> Nr. FR-2157</t>
  </si>
  <si>
    <t xml:space="preserve">VERSLO PLANAS, TEIKIAMAS PAGAL JONAVOS RAJONO SAVIVALDYBĖS VIETOS VEIKLOS GRUPĖS VIETOS PLĖTROS STRATEGIJOS PRIEMONĘ SOCIALINIS VERSLAS (PRIEMONĖS PAVADINIMAS) Nr. JONA-LEADER-20VVG-06-04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</si>
</sst>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68"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8"/>
      <color theme="1"/>
      <name val="Times New Roman"/>
      <family val="1"/>
      <charset val="186"/>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2"/>
      <color theme="1"/>
      <name val="Times New Roman"/>
      <family val="1"/>
      <charset val="186"/>
    </font>
    <font>
      <b/>
      <sz val="8"/>
      <color theme="1"/>
      <name val="Calibri"/>
      <family val="2"/>
      <charset val="186"/>
      <scheme val="minor"/>
    </font>
    <font>
      <sz val="7"/>
      <color theme="1"/>
      <name val="Calibri"/>
      <family val="2"/>
      <charset val="186"/>
      <scheme val="minor"/>
    </font>
    <font>
      <b/>
      <sz val="7"/>
      <color theme="1"/>
      <name val="Calibri"/>
      <family val="2"/>
      <charset val="186"/>
      <scheme val="minor"/>
    </font>
    <font>
      <sz val="9"/>
      <color rgb="FFFF0000"/>
      <name val="Times New Roman"/>
      <family val="1"/>
      <charset val="186"/>
    </font>
    <font>
      <b/>
      <sz val="12"/>
      <color rgb="FFFF0000"/>
      <name val="Times New Roman"/>
      <family val="1"/>
      <charset val="186"/>
    </font>
    <font>
      <sz val="7"/>
      <color theme="0"/>
      <name val="Times New Roman"/>
      <family val="1"/>
      <charset val="186"/>
    </font>
    <font>
      <b/>
      <sz val="9"/>
      <name val="Times New Roman"/>
      <family val="1"/>
      <charset val="186"/>
    </font>
    <font>
      <sz val="11"/>
      <color rgb="FF000000"/>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2F3"/>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7" tint="0.79998168889431442"/>
        <bgColor indexed="64"/>
      </patternFill>
    </fill>
  </fills>
  <borders count="36">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59">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6" fillId="0" borderId="3" xfId="0" applyFont="1" applyBorder="1" applyAlignment="1">
      <alignment horizontal="left" vertical="top" wrapText="1" inden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5" fillId="0" borderId="0" xfId="0" applyFont="1" applyAlignment="1">
      <alignment horizontal="left" vertical="top"/>
    </xf>
    <xf numFmtId="0" fontId="8" fillId="0" borderId="13" xfId="0" applyFont="1" applyBorder="1" applyAlignment="1">
      <alignment horizontal="left" vertical="top" indent="1"/>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4" fontId="6" fillId="0" borderId="3" xfId="0" applyNumberFormat="1" applyFont="1" applyBorder="1" applyAlignment="1">
      <alignment horizontal="center" vertical="center" wrapText="1"/>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0" fontId="30" fillId="3" borderId="0" xfId="0" applyFont="1" applyFill="1" applyAlignment="1">
      <alignment horizontal="left" vertical="center"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8" fillId="6" borderId="15" xfId="0" applyFont="1" applyFill="1" applyBorder="1" applyAlignment="1">
      <alignment horizontal="left" vertical="top"/>
    </xf>
    <xf numFmtId="0" fontId="6" fillId="6" borderId="3" xfId="0" applyFont="1" applyFill="1" applyBorder="1" applyAlignment="1">
      <alignment horizontal="left" vertical="top"/>
    </xf>
    <xf numFmtId="0" fontId="8" fillId="6" borderId="3" xfId="0" applyFont="1" applyFill="1" applyBorder="1" applyAlignment="1">
      <alignment horizontal="left" vertical="top" wrapText="1"/>
    </xf>
    <xf numFmtId="0" fontId="8" fillId="6" borderId="3" xfId="0" applyFont="1" applyFill="1" applyBorder="1" applyAlignment="1" applyProtection="1">
      <alignment horizontal="left" vertical="top"/>
      <protection locked="0"/>
    </xf>
    <xf numFmtId="0" fontId="14" fillId="6" borderId="22"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2" fillId="6" borderId="2" xfId="0" applyFont="1" applyFill="1" applyBorder="1" applyAlignment="1">
      <alignment horizontal="center" vertical="center" wrapText="1"/>
    </xf>
    <xf numFmtId="2" fontId="6" fillId="6" borderId="0" xfId="0" applyNumberFormat="1" applyFont="1" applyFill="1" applyAlignment="1">
      <alignment horizontal="center" vertical="center"/>
    </xf>
    <xf numFmtId="10" fontId="6" fillId="6" borderId="0" xfId="1" applyNumberFormat="1" applyFont="1" applyFill="1" applyAlignment="1">
      <alignment horizontal="center" vertical="center"/>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0" fontId="8" fillId="0" borderId="3" xfId="0" applyFont="1" applyBorder="1" applyAlignment="1">
      <alignment horizontal="left" vertical="top" wrapText="1" indent="1"/>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0" fontId="0" fillId="0" borderId="15" xfId="0" applyBorder="1" applyAlignment="1">
      <alignment horizontal="left" vertical="center" wrapText="1"/>
    </xf>
    <xf numFmtId="0" fontId="0" fillId="0" borderId="13" xfId="0" applyBorder="1" applyAlignment="1">
      <alignment horizontal="left" vertical="center" wrapText="1"/>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54" fillId="0" borderId="3" xfId="0" applyFont="1" applyBorder="1" applyAlignment="1">
      <alignment horizontal="left" vertical="center"/>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5" fillId="0" borderId="32" xfId="0" applyFont="1" applyBorder="1" applyAlignment="1">
      <alignment horizontal="left" vertical="center" wrapText="1"/>
    </xf>
    <xf numFmtId="0" fontId="56"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0" fontId="59" fillId="0" borderId="0" xfId="0" applyFont="1"/>
    <xf numFmtId="0" fontId="23" fillId="0" borderId="0" xfId="0" applyFont="1" applyAlignment="1">
      <alignment vertical="top"/>
    </xf>
    <xf numFmtId="0" fontId="0" fillId="0" borderId="0" xfId="0" applyAlignment="1">
      <alignment vertical="top"/>
    </xf>
    <xf numFmtId="0" fontId="28" fillId="0" borderId="0" xfId="0" applyFont="1" applyAlignment="1">
      <alignment vertical="top" wrapText="1"/>
    </xf>
    <xf numFmtId="0" fontId="60" fillId="0" borderId="0" xfId="0" applyFont="1" applyAlignment="1">
      <alignment vertical="top" wrapText="1"/>
    </xf>
    <xf numFmtId="0" fontId="0" fillId="0" borderId="0" xfId="0" applyAlignment="1">
      <alignment vertical="top" wrapText="1"/>
    </xf>
    <xf numFmtId="164" fontId="0" fillId="9" borderId="3" xfId="0" applyNumberFormat="1" applyFill="1" applyBorder="1" applyAlignment="1" applyProtection="1">
      <alignment horizontal="center" vertical="center" wrapText="1"/>
      <protection locked="0"/>
    </xf>
    <xf numFmtId="0" fontId="45" fillId="7" borderId="3" xfId="0" applyFont="1" applyFill="1" applyBorder="1" applyAlignment="1">
      <alignment vertical="top" wrapText="1"/>
    </xf>
    <xf numFmtId="0" fontId="24" fillId="9" borderId="3" xfId="0" applyFont="1" applyFill="1" applyBorder="1" applyAlignment="1">
      <alignment vertical="top"/>
    </xf>
    <xf numFmtId="0" fontId="24" fillId="9" borderId="3" xfId="0" applyFont="1" applyFill="1" applyBorder="1" applyAlignment="1">
      <alignment horizontal="center" vertical="top"/>
    </xf>
    <xf numFmtId="0" fontId="59" fillId="11" borderId="3" xfId="0" applyFont="1" applyFill="1" applyBorder="1" applyAlignment="1">
      <alignment vertical="top"/>
    </xf>
    <xf numFmtId="0" fontId="59" fillId="10" borderId="3" xfId="0" applyFont="1" applyFill="1" applyBorder="1" applyAlignment="1">
      <alignment vertical="top" wrapText="1"/>
    </xf>
    <xf numFmtId="0" fontId="59" fillId="3" borderId="3" xfId="0" applyFont="1" applyFill="1" applyBorder="1" applyAlignment="1">
      <alignment vertical="top"/>
    </xf>
    <xf numFmtId="0" fontId="59" fillId="3" borderId="3" xfId="0" applyFont="1" applyFill="1" applyBorder="1" applyAlignment="1">
      <alignment vertical="top" wrapText="1"/>
    </xf>
    <xf numFmtId="0" fontId="30" fillId="6" borderId="3" xfId="0" applyFont="1" applyFill="1" applyBorder="1" applyAlignment="1">
      <alignment horizontal="left" vertical="top" wrapText="1"/>
    </xf>
    <xf numFmtId="0" fontId="30" fillId="3" borderId="3" xfId="0" applyFont="1" applyFill="1" applyBorder="1" applyAlignment="1">
      <alignment vertical="top" wrapText="1"/>
    </xf>
    <xf numFmtId="0" fontId="59" fillId="12" borderId="3" xfId="0" applyFont="1" applyFill="1" applyBorder="1" applyAlignment="1">
      <alignment vertical="top"/>
    </xf>
    <xf numFmtId="0" fontId="59" fillId="2" borderId="3" xfId="0" applyFont="1" applyFill="1" applyBorder="1" applyAlignment="1">
      <alignment vertical="top"/>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horizontal="center" vertical="top"/>
    </xf>
    <xf numFmtId="0" fontId="44" fillId="0" borderId="0" xfId="0" applyFont="1" applyAlignment="1">
      <alignment vertical="top" wrapText="1"/>
    </xf>
    <xf numFmtId="0" fontId="44" fillId="0" borderId="0" xfId="0" quotePrefix="1" applyFont="1" applyAlignment="1">
      <alignment vertical="top" wrapText="1"/>
    </xf>
    <xf numFmtId="0" fontId="33" fillId="9" borderId="0" xfId="0" applyFont="1" applyFill="1" applyAlignment="1">
      <alignment vertical="top"/>
    </xf>
    <xf numFmtId="0" fontId="30" fillId="9" borderId="0" xfId="0" applyFont="1" applyFill="1" applyAlignment="1">
      <alignment horizontal="left" vertical="top"/>
    </xf>
    <xf numFmtId="0" fontId="43" fillId="9" borderId="0" xfId="0" applyFont="1" applyFill="1" applyAlignment="1">
      <alignment horizontal="left" vertical="top"/>
    </xf>
    <xf numFmtId="0" fontId="6" fillId="9" borderId="0" xfId="0" applyFont="1" applyFill="1" applyAlignment="1">
      <alignment horizontal="left" vertical="top"/>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left" vertical="top" wrapText="1"/>
    </xf>
    <xf numFmtId="0" fontId="30" fillId="0" borderId="0" xfId="0" applyFont="1" applyAlignment="1">
      <alignment horizontal="left" vertical="top" wrapText="1"/>
    </xf>
    <xf numFmtId="0" fontId="30" fillId="0" borderId="0" xfId="0" applyFont="1" applyAlignment="1">
      <alignment vertical="top" wrapText="1"/>
    </xf>
    <xf numFmtId="0" fontId="33" fillId="0" borderId="0" xfId="0" applyFont="1" applyAlignment="1">
      <alignment vertical="center"/>
    </xf>
    <xf numFmtId="0" fontId="43" fillId="0" borderId="0" xfId="0" applyFont="1" applyAlignment="1">
      <alignment horizontal="left" vertical="center"/>
    </xf>
    <xf numFmtId="0" fontId="51"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21" fillId="0" borderId="0" xfId="0"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3"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13" borderId="13" xfId="0" applyNumberFormat="1" applyFill="1" applyBorder="1" applyAlignment="1">
      <alignment horizontal="center" vertical="center"/>
    </xf>
    <xf numFmtId="0" fontId="30" fillId="13" borderId="0" xfId="0" applyFont="1" applyFill="1" applyAlignment="1">
      <alignment horizontal="left" vertical="center"/>
    </xf>
    <xf numFmtId="164" fontId="0" fillId="10" borderId="3" xfId="0" applyNumberFormat="1" applyFill="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165" fontId="22" fillId="14" borderId="0" xfId="0" applyNumberFormat="1" applyFont="1" applyFill="1" applyAlignment="1">
      <alignment horizontal="right" vertical="center"/>
    </xf>
    <xf numFmtId="165" fontId="65" fillId="14" borderId="0" xfId="0" applyNumberFormat="1" applyFont="1" applyFill="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center" indent="1"/>
    </xf>
    <xf numFmtId="2" fontId="6" fillId="4" borderId="3" xfId="0" applyNumberFormat="1" applyFont="1" applyFill="1" applyBorder="1" applyAlignment="1">
      <alignment vertical="center"/>
    </xf>
    <xf numFmtId="2" fontId="11" fillId="4" borderId="12" xfId="0" applyNumberFormat="1" applyFont="1" applyFill="1" applyBorder="1" applyAlignment="1">
      <alignment horizontal="right" vertical="center" wrapTex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167" fontId="13" fillId="4" borderId="3" xfId="0" applyNumberFormat="1" applyFont="1" applyFill="1" applyBorder="1" applyAlignment="1">
      <alignment horizontal="right" vertical="top"/>
    </xf>
    <xf numFmtId="167" fontId="13" fillId="4" borderId="1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3" fontId="8" fillId="4" borderId="0" xfId="0" applyNumberFormat="1" applyFont="1" applyFill="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65" fontId="17" fillId="4" borderId="0" xfId="0" applyNumberFormat="1" applyFont="1" applyFill="1" applyAlignment="1">
      <alignment horizontal="right" vertical="center"/>
    </xf>
    <xf numFmtId="167" fontId="6" fillId="4" borderId="3" xfId="0" applyNumberFormat="1" applyFont="1" applyFill="1" applyBorder="1" applyAlignment="1">
      <alignment vertical="center"/>
    </xf>
    <xf numFmtId="167" fontId="66" fillId="6" borderId="20" xfId="0" applyNumberFormat="1" applyFont="1" applyFill="1" applyBorder="1" applyAlignment="1">
      <alignment horizontal="righ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10" fontId="6" fillId="4" borderId="3" xfId="1" applyNumberFormat="1" applyFont="1" applyFill="1" applyBorder="1" applyAlignment="1">
      <alignment horizontal="right" vertical="center"/>
    </xf>
    <xf numFmtId="167" fontId="2" fillId="4" borderId="2" xfId="0" applyNumberFormat="1" applyFont="1" applyFill="1" applyBorder="1" applyAlignment="1">
      <alignment vertical="top"/>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165" fontId="22" fillId="9" borderId="0" xfId="0" applyNumberFormat="1" applyFont="1" applyFill="1" applyAlignment="1">
      <alignment horizontal="right" vertical="center"/>
    </xf>
    <xf numFmtId="165" fontId="22" fillId="0" borderId="0" xfId="0" applyNumberFormat="1" applyFont="1" applyAlignment="1">
      <alignment horizontal="right" vertical="center"/>
    </xf>
    <xf numFmtId="0" fontId="8" fillId="6" borderId="12"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9" fontId="2" fillId="9" borderId="0" xfId="1" applyFont="1" applyFill="1" applyAlignment="1" applyProtection="1">
      <alignment horizontal="center" vertical="top"/>
      <protection locked="0"/>
    </xf>
    <xf numFmtId="0" fontId="30" fillId="9" borderId="0" xfId="0" applyFont="1" applyFill="1" applyAlignment="1">
      <alignment horizontal="left" vertical="center"/>
    </xf>
    <xf numFmtId="0" fontId="8" fillId="6" borderId="8" xfId="0" applyFont="1" applyFill="1" applyBorder="1" applyAlignment="1">
      <alignment vertical="center"/>
    </xf>
    <xf numFmtId="0" fontId="4" fillId="6" borderId="3" xfId="0" applyFont="1" applyFill="1" applyBorder="1" applyAlignment="1">
      <alignment horizontal="left" vertical="top"/>
    </xf>
    <xf numFmtId="1" fontId="6" fillId="4" borderId="3" xfId="0" applyNumberFormat="1" applyFont="1" applyFill="1" applyBorder="1" applyAlignment="1">
      <alignment horizontal="center" vertical="center"/>
    </xf>
    <xf numFmtId="167" fontId="9" fillId="0" borderId="0" xfId="0" applyNumberFormat="1" applyFont="1" applyAlignment="1">
      <alignment vertical="top"/>
    </xf>
    <xf numFmtId="0" fontId="55" fillId="0" borderId="3" xfId="0" applyFont="1" applyBorder="1" applyAlignment="1">
      <alignment horizontal="left" vertical="center" wrapText="1"/>
    </xf>
    <xf numFmtId="167" fontId="52" fillId="8" borderId="9" xfId="0" applyNumberFormat="1" applyFont="1" applyFill="1" applyBorder="1" applyAlignment="1">
      <alignment horizontal="right" vertical="center"/>
    </xf>
    <xf numFmtId="0" fontId="32" fillId="0" borderId="3" xfId="0" applyFont="1" applyBorder="1" applyAlignment="1" applyProtection="1">
      <alignment horizontal="left" vertical="center" wrapText="1"/>
      <protection locked="0"/>
    </xf>
    <xf numFmtId="0" fontId="0" fillId="0" borderId="0" xfId="0" applyProtection="1">
      <protection locked="0"/>
    </xf>
    <xf numFmtId="0" fontId="57" fillId="0" borderId="0" xfId="0" applyFont="1" applyProtection="1">
      <protection locked="0"/>
    </xf>
    <xf numFmtId="0" fontId="0" fillId="0" borderId="3" xfId="0" applyBorder="1" applyProtection="1">
      <protection locked="0"/>
    </xf>
    <xf numFmtId="164" fontId="32" fillId="0" borderId="3" xfId="0" applyNumberFormat="1" applyFont="1" applyBorder="1" applyAlignment="1" applyProtection="1">
      <alignment horizontal="center" vertical="center" wrapText="1"/>
      <protection locked="0"/>
    </xf>
    <xf numFmtId="164" fontId="57" fillId="0" borderId="3" xfId="0" applyNumberFormat="1"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61" fillId="0" borderId="0" xfId="0" applyFont="1" applyAlignment="1">
      <alignment horizontal="left" vertical="top" wrapText="1"/>
    </xf>
    <xf numFmtId="0" fontId="12" fillId="3" borderId="7"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4" fillId="0" borderId="0" xfId="0" applyFont="1" applyAlignment="1">
      <alignment horizontal="center" vertical="center"/>
    </xf>
    <xf numFmtId="0" fontId="30" fillId="10" borderId="3" xfId="0" applyFont="1" applyFill="1" applyBorder="1" applyAlignment="1" applyProtection="1">
      <alignment horizontal="left" vertical="top" wrapText="1"/>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0" fontId="0" fillId="3" borderId="3" xfId="0"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6" fillId="6" borderId="13" xfId="0" applyFont="1" applyFill="1" applyBorder="1" applyAlignment="1">
      <alignment horizontal="center" vertical="center" wrapText="1"/>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30" fillId="0" borderId="0" xfId="0" applyFont="1" applyAlignment="1">
      <alignment horizontal="left" vertical="top"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0" fillId="3" borderId="15" xfId="0" applyFill="1" applyBorder="1" applyAlignment="1" applyProtection="1">
      <alignment horizontal="left" vertical="center"/>
      <protection locked="0"/>
    </xf>
    <xf numFmtId="0" fontId="30" fillId="10" borderId="7" xfId="0" applyFont="1" applyFill="1" applyBorder="1" applyAlignment="1" applyProtection="1">
      <alignment horizontal="center" vertical="top" wrapText="1"/>
      <protection locked="0"/>
    </xf>
    <xf numFmtId="0" fontId="30" fillId="10" borderId="8" xfId="0" applyFont="1" applyFill="1" applyBorder="1" applyAlignment="1" applyProtection="1">
      <alignment horizontal="center" vertical="top" wrapText="1"/>
      <protection locked="0"/>
    </xf>
    <xf numFmtId="0" fontId="30" fillId="10" borderId="9" xfId="0" applyFont="1" applyFill="1" applyBorder="1" applyAlignment="1" applyProtection="1">
      <alignment horizontal="center" vertical="top" wrapText="1"/>
      <protection locked="0"/>
    </xf>
    <xf numFmtId="0" fontId="0" fillId="10" borderId="13" xfId="0" applyFill="1" applyBorder="1" applyAlignment="1" applyProtection="1">
      <alignment horizontal="center" vertical="center" wrapText="1"/>
      <protection locked="0"/>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17"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8"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6" fillId="10" borderId="7" xfId="0" applyFont="1" applyFill="1" applyBorder="1" applyAlignment="1" applyProtection="1">
      <alignment horizontal="center" vertical="center" wrapText="1"/>
      <protection locked="0"/>
    </xf>
    <xf numFmtId="0" fontId="8" fillId="10" borderId="33" xfId="0" applyFont="1" applyFill="1" applyBorder="1" applyAlignment="1" applyProtection="1">
      <alignment horizontal="center" vertical="center"/>
      <protection locked="0"/>
    </xf>
    <xf numFmtId="0" fontId="8" fillId="10" borderId="0" xfId="0" applyFont="1" applyFill="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8" fillId="6" borderId="0" xfId="0" applyFont="1" applyFill="1" applyAlignment="1">
      <alignment horizontal="left" vertical="top" wrapText="1"/>
    </xf>
    <xf numFmtId="0" fontId="4" fillId="6" borderId="0" xfId="0" applyFont="1" applyFill="1" applyAlignment="1">
      <alignment horizontal="left" vertical="top" wrapText="1"/>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51" fillId="0" borderId="0" xfId="0" applyFont="1" applyAlignment="1">
      <alignment horizontal="center" vertical="center" wrapText="1"/>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11" fillId="6" borderId="3" xfId="0" applyFont="1" applyFill="1" applyBorder="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horizontal="center" vertical="center" wrapText="1"/>
    </xf>
    <xf numFmtId="0" fontId="8" fillId="6" borderId="9" xfId="0" applyFont="1" applyFill="1" applyBorder="1" applyAlignment="1">
      <alignment horizontal="center" vertical="center"/>
    </xf>
    <xf numFmtId="0" fontId="4" fillId="6" borderId="7" xfId="0" applyFont="1" applyFill="1" applyBorder="1" applyAlignment="1">
      <alignment horizontal="center" vertical="top"/>
    </xf>
    <xf numFmtId="0" fontId="4" fillId="6" borderId="8" xfId="0" applyFont="1" applyFill="1" applyBorder="1" applyAlignment="1">
      <alignment horizontal="center" vertical="top"/>
    </xf>
    <xf numFmtId="0" fontId="4" fillId="6" borderId="9" xfId="0" applyFont="1" applyFill="1" applyBorder="1" applyAlignment="1">
      <alignment horizontal="center" vertical="top"/>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0" fontId="54" fillId="0" borderId="0" xfId="0" applyFont="1" applyAlignment="1">
      <alignment horizontal="center" vertical="top" wrapText="1"/>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xf numFmtId="0" fontId="2" fillId="10" borderId="0" xfId="0" applyFont="1" applyFill="1" applyAlignment="1" applyProtection="1">
      <alignment horizontal="center" vertical="top"/>
      <protection locked="0"/>
    </xf>
    <xf numFmtId="0" fontId="2" fillId="0" borderId="0" xfId="0" applyFont="1" applyAlignment="1">
      <alignment horizontal="center" vertical="top" wrapText="1"/>
    </xf>
    <xf numFmtId="0" fontId="4" fillId="0" borderId="0" xfId="0" applyFont="1" applyAlignment="1">
      <alignment horizontal="center" vertical="top"/>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cellXfs>
  <cellStyles count="3">
    <cellStyle name="Hyperlink" xfId="2" builtinId="8"/>
    <cellStyle name="Normal" xfId="0" builtinId="0"/>
    <cellStyle name="Percent" xfId="1" builtinId="5"/>
  </cellStyles>
  <dxfs count="127">
    <dxf>
      <fill>
        <patternFill>
          <bgColor rgb="FFFFF0D2"/>
        </patternFill>
      </fill>
    </dxf>
    <dxf>
      <font>
        <color rgb="FFC00000"/>
      </font>
      <fill>
        <patternFill>
          <bgColor rgb="FFFFCCCC"/>
        </patternFill>
      </fill>
    </dxf>
    <dxf>
      <font>
        <color rgb="FFC00000"/>
      </font>
      <fill>
        <patternFill>
          <bgColor rgb="FFFFCDCD"/>
        </patternFill>
      </fill>
    </dxf>
    <dxf>
      <fill>
        <patternFill>
          <bgColor theme="1" tint="0.499984740745262"/>
        </patternFill>
      </fill>
    </dxf>
    <dxf>
      <fill>
        <patternFill>
          <bgColor rgb="FFFFF0D2"/>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ont>
        <color rgb="FFC00000"/>
      </font>
      <fill>
        <patternFill>
          <bgColor rgb="FFFFCDCD"/>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ill>
        <patternFill>
          <bgColor rgb="FFFFF0D2"/>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rgb="FFFFF0D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theme="1" tint="0.49998474074526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ill>
        <patternFill>
          <bgColor rgb="FFFFF0D2"/>
        </patternFill>
      </fill>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theme="1" tint="0.499984740745262"/>
        </patternFill>
      </fill>
    </dxf>
    <dxf>
      <border>
        <left style="thin">
          <color auto="1"/>
        </left>
        <right style="thin">
          <color auto="1"/>
        </right>
        <bottom style="thin">
          <color auto="1"/>
        </bottom>
        <vertical/>
        <horizontal/>
      </border>
    </dxf>
    <dxf>
      <fill>
        <patternFill>
          <bgColor rgb="FFFFF0D2"/>
        </patternFill>
      </fill>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numFmt numFmtId="0" formatCode="General"/>
    </dxf>
    <dxf>
      <numFmt numFmtId="0" formatCode="General"/>
      <alignment vertical="top" textRotation="0" indent="0" justifyLastLine="0" shrinkToFit="0" readingOrder="0"/>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137160</xdr:rowOff>
        </xdr:from>
        <xdr:to>
          <xdr:col>8</xdr:col>
          <xdr:colOff>68580</xdr:colOff>
          <xdr:row>8</xdr:row>
          <xdr:rowOff>76200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10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GB" sz="1100" b="0" i="0" u="none" strike="noStrike" baseline="0">
                  <a:solidFill>
                    <a:srgbClr val="000000"/>
                  </a:solidFill>
                  <a:latin typeface="Calibri"/>
                  <a:cs typeface="Calibri"/>
                </a:rPr>
                <a:t>Išsaugoti PDF</a:t>
              </a:r>
            </a:p>
            <a:p>
              <a:pPr algn="ctr" rtl="0">
                <a:defRPr sz="1000"/>
              </a:pPr>
              <a:endParaRPr lang="en-GB" sz="1100" b="0" i="0" u="none" strike="noStrike" baseline="0">
                <a:solidFill>
                  <a:srgbClr val="000000"/>
                </a:solidFill>
                <a:latin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90:C93" totalsRowShown="0">
  <autoFilter ref="A90:C93" xr:uid="{31524F5D-2BBC-453C-84CA-5AA570F5C477}"/>
  <tableColumns count="3">
    <tableColumn id="1" xr3:uid="{BA3F9CCE-4302-463C-85E7-929FE3626EA1}" name="Meniu_Būdas" dataDxfId="126">
      <calculatedColumnFormula>IF(ParamosIšmokėjimoBūdai[[#This Row],[Taikymas]]="Taip",ParamosIšmokėjimoBūdai[[#This Row],[Būdas]],"")</calculatedColumnFormula>
    </tableColumn>
    <tableColumn id="2" xr3:uid="{5D61BCC8-4F0B-4B8A-8757-BF46466044D9}" name="Taikymas" dataDxfId="125">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9:A111" totalsRowShown="0" headerRowDxfId="124" dataDxfId="123">
  <autoFilter ref="A109:A111" xr:uid="{D6AB7D56-F608-4C77-8279-E12FC78F5A77}"/>
  <tableColumns count="1">
    <tableColumn id="1" xr3:uid="{1F063533-7FC0-400E-8554-D5078809D1C6}" name="Taip ar Ne" dataDxfId="12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21">
  <autoFilter ref="A6:E9" xr:uid="{3419BE10-2419-46A4-9B36-14BC8C9A8246}"/>
  <tableColumns count="5">
    <tableColumn id="1" xr3:uid="{95B91EB0-DDCB-4877-8CF3-7AFF55912F72}" name="Eil. Nr." dataDxfId="120">
      <calculatedColumnFormula>ROW()-ROW(Pataisymai[[#Headers],[Eil. Nr.]])</calculatedColumnFormula>
    </tableColumn>
    <tableColumn id="2" xr3:uid="{7F417F6E-BA5E-47C1-8F40-2C11292ED0D6}" name="Problema" dataDxfId="119"/>
    <tableColumn id="3" xr3:uid="{7C889F0C-0BA2-4052-AD01-904E12F6A09E}" name="Registravimo data" dataDxfId="118"/>
    <tableColumn id="4" xr3:uid="{1366926C-6F1C-461E-B773-B6DBDBB93B5B}" name="Pataisymas" dataDxfId="117"/>
    <tableColumn id="5" xr3:uid="{11785D0D-88D2-4F92-8CCD-1F537BB674F6}" name="Pataisymo data" dataDxfId="116"/>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15" dataDxfId="113" headerRowBorderDxfId="114" tableBorderDxfId="112" totalsRowBorderDxfId="111">
  <autoFilter ref="B29:C32" xr:uid="{C1C6A54A-2285-4FE0-AB18-4559392858BC}"/>
  <tableColumns count="2">
    <tableColumn id="1" xr3:uid="{AC0ACF2D-2BC4-4CCF-9EFD-09A9C8200DBC}" name="Naudojami paramos išmokėjimo būdai" dataDxfId="110"/>
    <tableColumn id="2" xr3:uid="{EDE0C5C9-0947-4FF2-A524-2F2F7BCE54F0}" name="Pasirinkti" dataDxfId="10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08" dataDxfId="107">
  <autoFilter ref="B4:D17" xr:uid="{BFE8441A-32FE-4AB0-96EE-B02191919165}"/>
  <tableColumns count="3">
    <tableColumn id="1" xr3:uid="{6CDC0A03-8ACB-4551-89E8-A74053D7A252}" name="Eil. Nr." dataDxfId="106">
      <calculatedColumnFormula>ROW()-ROW(Turinys[[#Headers],[Eil. Nr.]])</calculatedColumnFormula>
    </tableColumn>
    <tableColumn id="3" xr3:uid="{45F98729-F03F-418F-BB5C-6F94DF2A2742}" name="Skyriaus Nr." dataDxfId="105"/>
    <tableColumn id="2" xr3:uid="{83CE4090-3600-4CD3-BC8F-3E902BEFE584}" name="Skyrius" dataDxfId="104"/>
  </tableColumns>
  <tableStyleInfo name="TableStyleLight1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2" zoomScale="130" zoomScaleNormal="130" workbookViewId="0">
      <selection activeCell="B23" sqref="B23"/>
    </sheetView>
  </sheetViews>
  <sheetFormatPr defaultRowHeight="14.4" x14ac:dyDescent="0.3"/>
  <cols>
    <col min="2" max="2" width="49.109375" customWidth="1"/>
    <col min="4" max="4" width="6.33203125" customWidth="1"/>
    <col min="5" max="5" width="46.6640625" customWidth="1"/>
    <col min="7" max="7" width="6.33203125" customWidth="1"/>
    <col min="8" max="8" width="45.5546875" customWidth="1"/>
    <col min="9" max="9" width="29.44140625" customWidth="1"/>
  </cols>
  <sheetData>
    <row r="12" spans="1:8" x14ac:dyDescent="0.3">
      <c r="A12" t="s">
        <v>92</v>
      </c>
      <c r="B12" t="s">
        <v>652</v>
      </c>
      <c r="D12" t="s">
        <v>653</v>
      </c>
      <c r="E12" t="s">
        <v>597</v>
      </c>
      <c r="H12" t="s">
        <v>91</v>
      </c>
    </row>
    <row r="13" spans="1:8" x14ac:dyDescent="0.3">
      <c r="A13" t="s">
        <v>653</v>
      </c>
      <c r="B13" t="s">
        <v>654</v>
      </c>
      <c r="D13" t="s">
        <v>0</v>
      </c>
      <c r="E13" t="s">
        <v>737</v>
      </c>
      <c r="G13" t="s">
        <v>92</v>
      </c>
      <c r="H13" t="s">
        <v>93</v>
      </c>
    </row>
    <row r="14" spans="1:8" x14ac:dyDescent="0.3">
      <c r="A14" t="s">
        <v>655</v>
      </c>
      <c r="B14" t="s">
        <v>656</v>
      </c>
      <c r="D14" t="s">
        <v>6</v>
      </c>
      <c r="E14" t="s">
        <v>598</v>
      </c>
      <c r="G14" t="s">
        <v>653</v>
      </c>
      <c r="H14" t="s">
        <v>94</v>
      </c>
    </row>
    <row r="15" spans="1:8" x14ac:dyDescent="0.3">
      <c r="A15" t="s">
        <v>657</v>
      </c>
      <c r="B15" t="s">
        <v>658</v>
      </c>
      <c r="D15" t="s">
        <v>181</v>
      </c>
      <c r="E15" t="s">
        <v>738</v>
      </c>
      <c r="G15" t="s">
        <v>0</v>
      </c>
      <c r="H15" t="s">
        <v>754</v>
      </c>
    </row>
    <row r="16" spans="1:8" x14ac:dyDescent="0.3">
      <c r="A16" t="s">
        <v>659</v>
      </c>
      <c r="B16" t="s">
        <v>660</v>
      </c>
      <c r="D16" t="s">
        <v>182</v>
      </c>
      <c r="E16" t="s">
        <v>599</v>
      </c>
      <c r="G16" t="s">
        <v>6</v>
      </c>
      <c r="H16" t="s">
        <v>755</v>
      </c>
    </row>
    <row r="17" spans="1:8" x14ac:dyDescent="0.3">
      <c r="A17" t="s">
        <v>661</v>
      </c>
      <c r="B17" t="s">
        <v>662</v>
      </c>
      <c r="D17" t="s">
        <v>7</v>
      </c>
      <c r="E17" t="s">
        <v>600</v>
      </c>
      <c r="G17" t="s">
        <v>7</v>
      </c>
      <c r="H17" t="s">
        <v>756</v>
      </c>
    </row>
    <row r="18" spans="1:8" x14ac:dyDescent="0.3">
      <c r="A18" t="s">
        <v>663</v>
      </c>
      <c r="B18" t="s">
        <v>664</v>
      </c>
      <c r="D18" t="s">
        <v>673</v>
      </c>
      <c r="E18" t="s">
        <v>601</v>
      </c>
      <c r="G18" t="s">
        <v>673</v>
      </c>
      <c r="H18" t="s">
        <v>95</v>
      </c>
    </row>
    <row r="19" spans="1:8" x14ac:dyDescent="0.3">
      <c r="A19" t="s">
        <v>665</v>
      </c>
      <c r="B19" t="s">
        <v>666</v>
      </c>
      <c r="D19" t="s">
        <v>0</v>
      </c>
      <c r="E19" t="s">
        <v>602</v>
      </c>
      <c r="G19" t="s">
        <v>0</v>
      </c>
      <c r="H19" t="s">
        <v>96</v>
      </c>
    </row>
    <row r="20" spans="1:8" x14ac:dyDescent="0.3">
      <c r="A20" t="s">
        <v>667</v>
      </c>
      <c r="B20" t="s">
        <v>668</v>
      </c>
      <c r="D20" t="s">
        <v>6</v>
      </c>
      <c r="E20" t="s">
        <v>603</v>
      </c>
      <c r="G20" t="s">
        <v>6</v>
      </c>
      <c r="H20" t="s">
        <v>38</v>
      </c>
    </row>
    <row r="21" spans="1:8" x14ac:dyDescent="0.3">
      <c r="A21" t="s">
        <v>669</v>
      </c>
      <c r="B21" t="s">
        <v>670</v>
      </c>
      <c r="D21" t="s">
        <v>7</v>
      </c>
      <c r="E21" t="s">
        <v>604</v>
      </c>
      <c r="G21" t="s">
        <v>7</v>
      </c>
      <c r="H21" t="s">
        <v>55</v>
      </c>
    </row>
    <row r="22" spans="1:8" x14ac:dyDescent="0.3">
      <c r="A22" t="s">
        <v>671</v>
      </c>
      <c r="B22" t="s">
        <v>672</v>
      </c>
      <c r="D22" t="s">
        <v>183</v>
      </c>
      <c r="E22" t="s">
        <v>605</v>
      </c>
      <c r="G22" t="s">
        <v>98</v>
      </c>
      <c r="H22" t="s">
        <v>39</v>
      </c>
    </row>
    <row r="23" spans="1:8" x14ac:dyDescent="0.3">
      <c r="A23" t="s">
        <v>673</v>
      </c>
      <c r="B23" t="s">
        <v>674</v>
      </c>
      <c r="D23" t="s">
        <v>268</v>
      </c>
      <c r="E23" t="s">
        <v>606</v>
      </c>
      <c r="G23" t="s">
        <v>8</v>
      </c>
      <c r="H23" t="s">
        <v>757</v>
      </c>
    </row>
    <row r="24" spans="1:8" x14ac:dyDescent="0.3">
      <c r="A24" t="s">
        <v>675</v>
      </c>
      <c r="B24" t="s">
        <v>676</v>
      </c>
      <c r="D24" t="s">
        <v>739</v>
      </c>
      <c r="E24" t="s">
        <v>607</v>
      </c>
      <c r="G24" t="s">
        <v>20</v>
      </c>
      <c r="H24" t="s">
        <v>611</v>
      </c>
    </row>
    <row r="25" spans="1:8" x14ac:dyDescent="0.3">
      <c r="A25" t="s">
        <v>677</v>
      </c>
      <c r="B25" t="s">
        <v>678</v>
      </c>
      <c r="D25" t="s">
        <v>740</v>
      </c>
      <c r="E25" t="s">
        <v>741</v>
      </c>
      <c r="G25" t="s">
        <v>33</v>
      </c>
      <c r="H25" t="s">
        <v>758</v>
      </c>
    </row>
    <row r="26" spans="1:8" x14ac:dyDescent="0.3">
      <c r="A26" t="s">
        <v>679</v>
      </c>
      <c r="B26" t="s">
        <v>680</v>
      </c>
      <c r="D26" t="s">
        <v>742</v>
      </c>
      <c r="E26" t="s">
        <v>743</v>
      </c>
      <c r="G26" t="s">
        <v>675</v>
      </c>
      <c r="H26" t="s">
        <v>97</v>
      </c>
    </row>
    <row r="27" spans="1:8" x14ac:dyDescent="0.3">
      <c r="A27" t="s">
        <v>681</v>
      </c>
      <c r="B27" t="s">
        <v>682</v>
      </c>
      <c r="D27" t="s">
        <v>744</v>
      </c>
      <c r="E27" t="s">
        <v>745</v>
      </c>
      <c r="G27" t="s">
        <v>0</v>
      </c>
      <c r="H27" s="266" t="s">
        <v>759</v>
      </c>
    </row>
    <row r="28" spans="1:8" x14ac:dyDescent="0.3">
      <c r="A28" t="s">
        <v>683</v>
      </c>
      <c r="B28" t="s">
        <v>684</v>
      </c>
      <c r="D28" t="s">
        <v>746</v>
      </c>
      <c r="E28" t="s">
        <v>747</v>
      </c>
      <c r="G28" t="s">
        <v>6</v>
      </c>
      <c r="H28" s="266" t="s">
        <v>760</v>
      </c>
    </row>
    <row r="29" spans="1:8" x14ac:dyDescent="0.3">
      <c r="A29" t="s">
        <v>685</v>
      </c>
      <c r="B29" t="s">
        <v>686</v>
      </c>
      <c r="D29" t="s">
        <v>748</v>
      </c>
      <c r="E29" t="s">
        <v>749</v>
      </c>
      <c r="G29" t="s">
        <v>100</v>
      </c>
      <c r="H29" t="s">
        <v>101</v>
      </c>
    </row>
    <row r="30" spans="1:8" x14ac:dyDescent="0.3">
      <c r="A30" t="s">
        <v>687</v>
      </c>
      <c r="B30" t="s">
        <v>688</v>
      </c>
      <c r="D30" t="s">
        <v>750</v>
      </c>
      <c r="E30" t="s">
        <v>751</v>
      </c>
      <c r="G30" t="s">
        <v>653</v>
      </c>
      <c r="H30" t="s">
        <v>761</v>
      </c>
    </row>
    <row r="31" spans="1:8" x14ac:dyDescent="0.3">
      <c r="A31" t="s">
        <v>689</v>
      </c>
      <c r="B31" t="s">
        <v>690</v>
      </c>
      <c r="D31" t="s">
        <v>752</v>
      </c>
      <c r="E31" t="s">
        <v>753</v>
      </c>
      <c r="G31" t="s">
        <v>0</v>
      </c>
      <c r="H31" t="s">
        <v>612</v>
      </c>
    </row>
    <row r="32" spans="1:8" x14ac:dyDescent="0.3">
      <c r="A32" t="s">
        <v>691</v>
      </c>
      <c r="B32" t="s">
        <v>692</v>
      </c>
      <c r="D32" t="s">
        <v>675</v>
      </c>
      <c r="E32" t="s">
        <v>608</v>
      </c>
      <c r="G32" t="s">
        <v>6</v>
      </c>
      <c r="H32" t="s">
        <v>613</v>
      </c>
    </row>
    <row r="33" spans="1:9" x14ac:dyDescent="0.3">
      <c r="A33" t="s">
        <v>693</v>
      </c>
      <c r="B33" t="s">
        <v>694</v>
      </c>
      <c r="D33" t="s">
        <v>701</v>
      </c>
      <c r="E33" t="s">
        <v>609</v>
      </c>
      <c r="G33" t="s">
        <v>7</v>
      </c>
      <c r="H33" t="s">
        <v>614</v>
      </c>
    </row>
    <row r="34" spans="1:9" x14ac:dyDescent="0.3">
      <c r="A34" t="s">
        <v>695</v>
      </c>
      <c r="B34" t="s">
        <v>696</v>
      </c>
      <c r="D34" t="s">
        <v>703</v>
      </c>
      <c r="E34" t="s">
        <v>610</v>
      </c>
      <c r="G34" t="s">
        <v>673</v>
      </c>
      <c r="H34" t="s">
        <v>762</v>
      </c>
    </row>
    <row r="35" spans="1:9" x14ac:dyDescent="0.3">
      <c r="A35" t="s">
        <v>100</v>
      </c>
      <c r="B35" t="s">
        <v>697</v>
      </c>
      <c r="G35" t="s">
        <v>0</v>
      </c>
      <c r="H35" t="s">
        <v>763</v>
      </c>
    </row>
    <row r="36" spans="1:9" x14ac:dyDescent="0.3">
      <c r="A36" t="s">
        <v>653</v>
      </c>
      <c r="B36" t="s">
        <v>698</v>
      </c>
      <c r="G36" t="s">
        <v>6</v>
      </c>
      <c r="H36" t="s">
        <v>105</v>
      </c>
    </row>
    <row r="37" spans="1:9" x14ac:dyDescent="0.3">
      <c r="A37" t="s">
        <v>673</v>
      </c>
      <c r="B37" t="s">
        <v>699</v>
      </c>
      <c r="G37" t="s">
        <v>675</v>
      </c>
      <c r="H37" t="s">
        <v>764</v>
      </c>
    </row>
    <row r="38" spans="1:9" x14ac:dyDescent="0.3">
      <c r="A38" t="s">
        <v>675</v>
      </c>
      <c r="B38" t="s">
        <v>700</v>
      </c>
      <c r="G38" t="s">
        <v>0</v>
      </c>
      <c r="H38" t="s">
        <v>765</v>
      </c>
    </row>
    <row r="39" spans="1:9" x14ac:dyDescent="0.3">
      <c r="A39" t="s">
        <v>701</v>
      </c>
      <c r="B39" t="s">
        <v>702</v>
      </c>
      <c r="G39" t="s">
        <v>6</v>
      </c>
      <c r="H39" t="s">
        <v>766</v>
      </c>
    </row>
    <row r="40" spans="1:9" x14ac:dyDescent="0.3">
      <c r="A40" t="s">
        <v>703</v>
      </c>
      <c r="B40" t="s">
        <v>704</v>
      </c>
      <c r="G40" t="s">
        <v>7</v>
      </c>
      <c r="H40" t="s">
        <v>767</v>
      </c>
    </row>
    <row r="41" spans="1:9" x14ac:dyDescent="0.3">
      <c r="A41" t="s">
        <v>705</v>
      </c>
      <c r="B41" t="s">
        <v>706</v>
      </c>
      <c r="G41" t="s">
        <v>701</v>
      </c>
      <c r="H41" t="s">
        <v>107</v>
      </c>
    </row>
    <row r="42" spans="1:9" x14ac:dyDescent="0.3">
      <c r="A42" t="s">
        <v>707</v>
      </c>
      <c r="B42" t="s">
        <v>708</v>
      </c>
      <c r="H42" t="s">
        <v>768</v>
      </c>
    </row>
    <row r="43" spans="1:9" x14ac:dyDescent="0.3">
      <c r="A43" t="s">
        <v>108</v>
      </c>
      <c r="B43" t="s">
        <v>709</v>
      </c>
    </row>
    <row r="44" spans="1:9" x14ac:dyDescent="0.3">
      <c r="A44" t="s">
        <v>653</v>
      </c>
      <c r="B44" t="s">
        <v>710</v>
      </c>
      <c r="H44" t="s">
        <v>111</v>
      </c>
    </row>
    <row r="45" spans="1:9" x14ac:dyDescent="0.3">
      <c r="A45" t="s">
        <v>673</v>
      </c>
      <c r="B45" t="s">
        <v>711</v>
      </c>
      <c r="G45" t="s">
        <v>108</v>
      </c>
      <c r="H45" t="s">
        <v>113</v>
      </c>
    </row>
    <row r="46" spans="1:9" x14ac:dyDescent="0.3">
      <c r="A46" t="s">
        <v>675</v>
      </c>
      <c r="B46" t="s">
        <v>712</v>
      </c>
      <c r="G46" t="s">
        <v>653</v>
      </c>
      <c r="H46" t="s">
        <v>114</v>
      </c>
      <c r="I46" t="s">
        <v>732</v>
      </c>
    </row>
    <row r="47" spans="1:9" x14ac:dyDescent="0.3">
      <c r="A47" t="s">
        <v>701</v>
      </c>
      <c r="B47" t="s">
        <v>713</v>
      </c>
      <c r="G47" t="s">
        <v>673</v>
      </c>
      <c r="H47" t="s">
        <v>115</v>
      </c>
      <c r="I47" t="s">
        <v>116</v>
      </c>
    </row>
    <row r="48" spans="1:9" x14ac:dyDescent="0.3">
      <c r="A48" t="s">
        <v>703</v>
      </c>
      <c r="B48" t="s">
        <v>714</v>
      </c>
      <c r="G48" t="s">
        <v>675</v>
      </c>
      <c r="H48" t="s">
        <v>735</v>
      </c>
      <c r="I48" t="s">
        <v>733</v>
      </c>
    </row>
    <row r="49" spans="1:9" x14ac:dyDescent="0.3">
      <c r="A49" t="s">
        <v>705</v>
      </c>
      <c r="B49" t="s">
        <v>715</v>
      </c>
      <c r="G49" t="s">
        <v>701</v>
      </c>
      <c r="H49" t="s">
        <v>769</v>
      </c>
      <c r="I49" t="s">
        <v>734</v>
      </c>
    </row>
    <row r="50" spans="1:9" x14ac:dyDescent="0.3">
      <c r="A50" t="s">
        <v>707</v>
      </c>
      <c r="B50" t="s">
        <v>716</v>
      </c>
      <c r="G50" t="s">
        <v>0</v>
      </c>
      <c r="H50" t="s">
        <v>615</v>
      </c>
    </row>
    <row r="51" spans="1:9" x14ac:dyDescent="0.3">
      <c r="A51" t="s">
        <v>112</v>
      </c>
      <c r="B51" t="s">
        <v>717</v>
      </c>
      <c r="G51" t="s">
        <v>6</v>
      </c>
      <c r="H51" t="s">
        <v>616</v>
      </c>
    </row>
    <row r="52" spans="1:9" x14ac:dyDescent="0.3">
      <c r="A52" t="s">
        <v>653</v>
      </c>
      <c r="B52" t="s">
        <v>718</v>
      </c>
      <c r="G52" t="s">
        <v>112</v>
      </c>
      <c r="H52" t="s">
        <v>617</v>
      </c>
    </row>
    <row r="53" spans="1:9" x14ac:dyDescent="0.3">
      <c r="A53" t="s">
        <v>673</v>
      </c>
      <c r="B53" t="s">
        <v>719</v>
      </c>
      <c r="G53" t="s">
        <v>0</v>
      </c>
      <c r="H53" t="s">
        <v>770</v>
      </c>
    </row>
    <row r="54" spans="1:9" x14ac:dyDescent="0.3">
      <c r="A54" t="s">
        <v>675</v>
      </c>
      <c r="B54" t="s">
        <v>720</v>
      </c>
      <c r="G54" t="s">
        <v>6</v>
      </c>
      <c r="H54" t="s">
        <v>618</v>
      </c>
    </row>
    <row r="55" spans="1:9" x14ac:dyDescent="0.3">
      <c r="G55" t="s">
        <v>181</v>
      </c>
      <c r="H55" t="s">
        <v>619</v>
      </c>
    </row>
    <row r="56" spans="1:9" x14ac:dyDescent="0.3">
      <c r="G56" t="s">
        <v>182</v>
      </c>
      <c r="H56" t="s">
        <v>620</v>
      </c>
    </row>
    <row r="57" spans="1:9" x14ac:dyDescent="0.3">
      <c r="G57" t="s">
        <v>7</v>
      </c>
      <c r="H57" t="s">
        <v>621</v>
      </c>
    </row>
    <row r="58" spans="1:9" x14ac:dyDescent="0.3">
      <c r="G58" t="s">
        <v>98</v>
      </c>
      <c r="H58" t="s">
        <v>622</v>
      </c>
    </row>
    <row r="59" spans="1:9" x14ac:dyDescent="0.3">
      <c r="G59" t="s">
        <v>117</v>
      </c>
      <c r="H59" t="s">
        <v>119</v>
      </c>
    </row>
    <row r="60" spans="1:9" x14ac:dyDescent="0.3">
      <c r="G60" t="s">
        <v>653</v>
      </c>
      <c r="H60" t="s">
        <v>623</v>
      </c>
    </row>
    <row r="61" spans="1:9" x14ac:dyDescent="0.3">
      <c r="G61" t="s">
        <v>0</v>
      </c>
      <c r="H61" t="s">
        <v>624</v>
      </c>
    </row>
    <row r="62" spans="1:9" x14ac:dyDescent="0.3">
      <c r="G62" t="s">
        <v>6</v>
      </c>
      <c r="H62" t="s">
        <v>625</v>
      </c>
    </row>
    <row r="63" spans="1:9" x14ac:dyDescent="0.3">
      <c r="G63" t="s">
        <v>673</v>
      </c>
      <c r="H63" t="s">
        <v>626</v>
      </c>
    </row>
    <row r="64" spans="1:9" x14ac:dyDescent="0.3">
      <c r="G64" t="s">
        <v>0</v>
      </c>
      <c r="H64" t="s">
        <v>646</v>
      </c>
    </row>
    <row r="65" spans="7:8" x14ac:dyDescent="0.3">
      <c r="G65" t="s">
        <v>6</v>
      </c>
      <c r="H65" t="s">
        <v>624</v>
      </c>
    </row>
    <row r="66" spans="7:8" x14ac:dyDescent="0.3">
      <c r="G66" t="s">
        <v>7</v>
      </c>
      <c r="H66" t="s">
        <v>120</v>
      </c>
    </row>
    <row r="67" spans="7:8" x14ac:dyDescent="0.3">
      <c r="G67" t="s">
        <v>98</v>
      </c>
      <c r="H67" t="s">
        <v>627</v>
      </c>
    </row>
    <row r="68" spans="7:8" x14ac:dyDescent="0.3">
      <c r="G68" t="s">
        <v>8</v>
      </c>
      <c r="H68" t="s">
        <v>121</v>
      </c>
    </row>
    <row r="69" spans="7:8" x14ac:dyDescent="0.3">
      <c r="G69" t="s">
        <v>20</v>
      </c>
      <c r="H69" t="s">
        <v>628</v>
      </c>
    </row>
    <row r="70" spans="7:8" x14ac:dyDescent="0.3">
      <c r="H70" t="s">
        <v>771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topLeftCell="A2" zoomScale="85" zoomScaleNormal="130" workbookViewId="0">
      <selection activeCell="B24" sqref="B24:C24"/>
    </sheetView>
  </sheetViews>
  <sheetFormatPr defaultColWidth="8.6640625" defaultRowHeight="13.8" x14ac:dyDescent="0.3"/>
  <cols>
    <col min="1" max="1" width="8.6640625" style="11"/>
    <col min="2" max="2" width="25.6640625" style="11" customWidth="1"/>
    <col min="3" max="6" width="23.5546875" style="11" customWidth="1"/>
    <col min="7" max="7" width="5.88671875" style="10" customWidth="1"/>
    <col min="8" max="8" width="43.5546875" style="20" customWidth="1"/>
    <col min="9" max="10" width="8.6640625" style="11" hidden="1" customWidth="1"/>
    <col min="11" max="11" width="8.6640625" style="11" customWidth="1"/>
    <col min="12" max="16384" width="8.6640625" style="11"/>
  </cols>
  <sheetData>
    <row r="1" spans="1:16" s="7" customFormat="1" ht="15.6" x14ac:dyDescent="0.3">
      <c r="A1" s="133" t="s">
        <v>8</v>
      </c>
      <c r="B1" s="505" t="s">
        <v>339</v>
      </c>
      <c r="C1" s="505"/>
      <c r="D1" s="505"/>
      <c r="E1" s="134"/>
      <c r="F1" s="134"/>
      <c r="G1" s="36"/>
      <c r="H1" s="305" t="s">
        <v>224</v>
      </c>
      <c r="I1" s="85" t="s">
        <v>279</v>
      </c>
      <c r="J1" s="85" t="s">
        <v>278</v>
      </c>
      <c r="K1" s="85"/>
      <c r="L1" s="2"/>
      <c r="M1" s="2"/>
      <c r="N1" s="2"/>
      <c r="O1" s="2"/>
      <c r="P1" s="2"/>
    </row>
    <row r="2" spans="1:16" x14ac:dyDescent="0.3">
      <c r="H2" s="267"/>
      <c r="I2" s="83"/>
      <c r="J2" s="85"/>
      <c r="K2" s="85"/>
    </row>
    <row r="3" spans="1:16" s="7" customFormat="1" x14ac:dyDescent="0.3">
      <c r="A3" s="135" t="s">
        <v>12</v>
      </c>
      <c r="B3" s="136" t="s">
        <v>335</v>
      </c>
      <c r="C3" s="137"/>
      <c r="D3" s="37"/>
      <c r="E3" s="37"/>
      <c r="F3" s="37"/>
      <c r="G3" s="37"/>
      <c r="H3" s="306"/>
      <c r="I3" s="82"/>
    </row>
    <row r="4" spans="1:16" ht="14.4" thickBot="1" x14ac:dyDescent="0.35">
      <c r="A4" s="230"/>
      <c r="B4" s="231" t="s">
        <v>267</v>
      </c>
      <c r="C4" s="231" t="s">
        <v>59</v>
      </c>
      <c r="D4" s="10"/>
      <c r="E4" s="10"/>
      <c r="F4" s="10"/>
      <c r="H4" s="271"/>
      <c r="I4" s="83"/>
    </row>
    <row r="5" spans="1:16" ht="14.4" thickTop="1" x14ac:dyDescent="0.3">
      <c r="A5" s="38" t="s">
        <v>531</v>
      </c>
      <c r="B5" s="229" t="s">
        <v>60</v>
      </c>
      <c r="C5" s="373">
        <f>SUMIFS(E:E,B:B,B5)</f>
        <v>0</v>
      </c>
      <c r="H5" s="271"/>
      <c r="I5" s="83"/>
    </row>
    <row r="6" spans="1:16" x14ac:dyDescent="0.3">
      <c r="A6" s="39" t="s">
        <v>532</v>
      </c>
      <c r="B6" s="78" t="s">
        <v>61</v>
      </c>
      <c r="C6" s="374">
        <f>SUMIFS(E:E,B:B,B6)</f>
        <v>0</v>
      </c>
      <c r="D6" s="10"/>
      <c r="E6" s="10"/>
      <c r="F6" s="10"/>
      <c r="I6" s="83"/>
    </row>
    <row r="7" spans="1:16" x14ac:dyDescent="0.3">
      <c r="A7" s="39" t="s">
        <v>533</v>
      </c>
      <c r="B7" s="78" t="s">
        <v>62</v>
      </c>
      <c r="C7" s="374">
        <f>SUMIFS(E:E,B:B,B7)</f>
        <v>0</v>
      </c>
      <c r="D7" s="10"/>
      <c r="E7" s="10"/>
      <c r="F7" s="10"/>
      <c r="I7" s="83"/>
      <c r="K7" s="10"/>
    </row>
    <row r="8" spans="1:16" x14ac:dyDescent="0.3">
      <c r="A8" s="39" t="s">
        <v>534</v>
      </c>
      <c r="B8" s="78" t="s">
        <v>63</v>
      </c>
      <c r="C8" s="374">
        <f>SUMIFS(E:E,B:B,B8)</f>
        <v>0</v>
      </c>
      <c r="D8" s="10"/>
      <c r="E8" s="10"/>
      <c r="F8" s="10"/>
      <c r="I8" s="83"/>
      <c r="K8" s="10"/>
    </row>
    <row r="9" spans="1:16" x14ac:dyDescent="0.3">
      <c r="A9" s="39" t="s">
        <v>535</v>
      </c>
      <c r="B9" s="249" t="s">
        <v>36</v>
      </c>
      <c r="C9" s="375">
        <f>SUM(C5:C8)</f>
        <v>0</v>
      </c>
      <c r="D9" s="10"/>
      <c r="E9" s="10"/>
      <c r="F9" s="10"/>
      <c r="I9" s="83"/>
      <c r="K9" s="10"/>
    </row>
    <row r="10" spans="1:16" x14ac:dyDescent="0.3">
      <c r="A10" s="39" t="s">
        <v>536</v>
      </c>
      <c r="B10" s="78" t="s">
        <v>64</v>
      </c>
      <c r="C10" s="376">
        <f>E19</f>
        <v>0</v>
      </c>
      <c r="D10" s="10"/>
      <c r="E10" s="10"/>
      <c r="F10" s="10"/>
      <c r="I10" s="83"/>
      <c r="K10" s="10"/>
    </row>
    <row r="11" spans="1:16" x14ac:dyDescent="0.3">
      <c r="A11" s="39" t="s">
        <v>537</v>
      </c>
      <c r="B11" s="78" t="s">
        <v>276</v>
      </c>
      <c r="C11" s="331"/>
      <c r="D11" s="378">
        <f>F19</f>
        <v>0</v>
      </c>
      <c r="E11" s="379" t="s">
        <v>326</v>
      </c>
      <c r="F11" s="10"/>
      <c r="H11" s="267" t="s">
        <v>864</v>
      </c>
      <c r="I11" s="83"/>
    </row>
    <row r="12" spans="1:16" x14ac:dyDescent="0.3">
      <c r="A12" s="39" t="s">
        <v>538</v>
      </c>
      <c r="B12" s="78" t="s">
        <v>266</v>
      </c>
      <c r="C12" s="318"/>
      <c r="D12" s="409"/>
      <c r="F12" s="10"/>
      <c r="H12" s="119" t="str">
        <f>IF(OR(C12=Konstantos!$A$90,'5'!C12=""),"Pasirinkite paramos išmokėjimo būdą","ok")</f>
        <v>Pasirinkite paramos išmokėjimo būdą</v>
      </c>
      <c r="I12" s="83"/>
    </row>
    <row r="13" spans="1:16" x14ac:dyDescent="0.3">
      <c r="A13" s="39" t="s">
        <v>539</v>
      </c>
      <c r="B13" s="78" t="str">
        <f>IFERROR(IF(SEARCH("*avans*",C12)=1, "Prašomo išmokėti avanso dalis, proc.",""),"")</f>
        <v/>
      </c>
      <c r="C13" s="332"/>
      <c r="F13" s="10"/>
      <c r="H13" s="268"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3"/>
    </row>
    <row r="14" spans="1:16" x14ac:dyDescent="0.3">
      <c r="A14" s="39" t="s">
        <v>540</v>
      </c>
      <c r="B14" s="78" t="str">
        <f>IFERROR(IF(SEARCH("*avans*",C12)=1, "Paramos išmokėjimas avansu, Eur",""),"")</f>
        <v/>
      </c>
      <c r="C14" s="377">
        <f>IF(B14&lt;&gt;"",C13*C11,0)</f>
        <v>0</v>
      </c>
      <c r="D14" s="79"/>
      <c r="F14" s="10"/>
      <c r="H14" s="267"/>
      <c r="I14" s="84"/>
    </row>
    <row r="15" spans="1:16" x14ac:dyDescent="0.3">
      <c r="A15" s="39" t="s">
        <v>541</v>
      </c>
      <c r="B15" s="78" t="str">
        <f>IFERROR(IF(SEARCH("*avans*",C12)=1, "Planuojama avanso išmokėjimo data",""),"")</f>
        <v/>
      </c>
      <c r="C15" s="333"/>
      <c r="D15" s="79"/>
      <c r="F15" s="10"/>
      <c r="H15" s="268" t="str">
        <f>IF(AND(B15="",C15&lt;&gt;0),"Ištrinkite datą",IF(AND(B15&lt;&gt;"",C15=0),"Įveskite datą","ok"))</f>
        <v>ok</v>
      </c>
      <c r="I15" s="83"/>
    </row>
    <row r="16" spans="1:16" x14ac:dyDescent="0.3">
      <c r="H16" s="267"/>
      <c r="I16" s="83"/>
    </row>
    <row r="17" spans="1:11" x14ac:dyDescent="0.3">
      <c r="A17" s="239" t="s">
        <v>15</v>
      </c>
      <c r="B17" s="506" t="s">
        <v>65</v>
      </c>
      <c r="C17" s="506"/>
      <c r="D17" s="506"/>
      <c r="E17" s="506"/>
      <c r="F17" s="506"/>
      <c r="H17" s="267"/>
      <c r="I17" s="83"/>
    </row>
    <row r="18" spans="1:11" ht="28.2" thickBot="1" x14ac:dyDescent="0.35">
      <c r="A18" s="243"/>
      <c r="B18" s="138" t="s">
        <v>66</v>
      </c>
      <c r="C18" s="138" t="s">
        <v>338</v>
      </c>
      <c r="D18" s="138" t="s">
        <v>67</v>
      </c>
      <c r="E18" s="138" t="s">
        <v>68</v>
      </c>
      <c r="F18" s="138" t="s">
        <v>40</v>
      </c>
      <c r="H18" s="267"/>
      <c r="I18" s="83"/>
    </row>
    <row r="19" spans="1:11" ht="15" thickTop="1" thickBot="1" x14ac:dyDescent="0.35">
      <c r="A19" s="244"/>
      <c r="B19" s="250" t="s">
        <v>69</v>
      </c>
      <c r="C19" s="240"/>
      <c r="D19" s="380">
        <f>SUMIFS(D:D,$B:$B,"Iš viso investicijų*")</f>
        <v>0</v>
      </c>
      <c r="E19" s="380">
        <f>SUMIFS(E:E,$B:$B,"Iš viso investicijų*")</f>
        <v>0</v>
      </c>
      <c r="F19" s="380">
        <f>SUMIFS(F:F,$B:$B,"Paramos išmokėjimas*")+$C$14</f>
        <v>0</v>
      </c>
      <c r="H19" s="307" t="s">
        <v>863</v>
      </c>
      <c r="I19" s="83"/>
    </row>
    <row r="20" spans="1:11" ht="14.4" thickTop="1" x14ac:dyDescent="0.3">
      <c r="A20" s="245" t="s">
        <v>348</v>
      </c>
      <c r="B20" s="237" t="s">
        <v>41</v>
      </c>
      <c r="C20" s="334"/>
      <c r="D20" s="238"/>
      <c r="E20" s="238"/>
      <c r="F20" s="238"/>
      <c r="H20" s="267" t="str">
        <f>IF(AND(C20="",D26&lt;&gt;0),"Klaida! Įveskite etapo paramos išmokėjimo prašymo pateikimo datą","ok")</f>
        <v>ok</v>
      </c>
      <c r="I20" s="83"/>
    </row>
    <row r="21" spans="1:11" x14ac:dyDescent="0.3">
      <c r="A21" s="246" t="s">
        <v>349</v>
      </c>
      <c r="B21" s="503"/>
      <c r="C21" s="504"/>
      <c r="D21" s="335"/>
      <c r="E21" s="335"/>
      <c r="F21" s="335"/>
      <c r="H21" s="267"/>
      <c r="I21" s="83"/>
    </row>
    <row r="22" spans="1:11" x14ac:dyDescent="0.3">
      <c r="A22" s="246" t="s">
        <v>350</v>
      </c>
      <c r="B22" s="503"/>
      <c r="C22" s="504"/>
      <c r="D22" s="335"/>
      <c r="E22" s="335"/>
      <c r="F22" s="335"/>
      <c r="H22" s="267"/>
      <c r="I22" s="83"/>
    </row>
    <row r="23" spans="1:11" x14ac:dyDescent="0.3">
      <c r="A23" s="246" t="s">
        <v>351</v>
      </c>
      <c r="B23" s="503"/>
      <c r="C23" s="504"/>
      <c r="D23" s="335"/>
      <c r="E23" s="335"/>
      <c r="F23" s="335"/>
      <c r="H23" s="267"/>
      <c r="I23" s="83"/>
    </row>
    <row r="24" spans="1:11" x14ac:dyDescent="0.3">
      <c r="A24" s="246" t="s">
        <v>352</v>
      </c>
      <c r="B24" s="503"/>
      <c r="C24" s="504"/>
      <c r="D24" s="335"/>
      <c r="E24" s="335"/>
      <c r="F24" s="335"/>
      <c r="H24" s="267"/>
      <c r="I24" s="83"/>
    </row>
    <row r="25" spans="1:11" x14ac:dyDescent="0.3">
      <c r="A25" s="246" t="s">
        <v>353</v>
      </c>
      <c r="B25" s="503"/>
      <c r="C25" s="504"/>
      <c r="D25" s="335"/>
      <c r="E25" s="335"/>
      <c r="F25" s="335"/>
      <c r="H25" s="267"/>
      <c r="I25" s="83"/>
    </row>
    <row r="26" spans="1:11" x14ac:dyDescent="0.3">
      <c r="A26" s="247"/>
      <c r="B26" s="139" t="s">
        <v>444</v>
      </c>
      <c r="C26" s="381" t="str">
        <f>IF(C20="","-",C20)</f>
        <v>-</v>
      </c>
      <c r="D26" s="382">
        <f>SUM(D21:D25)</f>
        <v>0</v>
      </c>
      <c r="E26" s="382">
        <f>SUM(E21:E25)</f>
        <v>0</v>
      </c>
      <c r="F26" s="248"/>
      <c r="H26" s="267"/>
      <c r="I26" s="83"/>
    </row>
    <row r="27" spans="1:11" ht="24" x14ac:dyDescent="0.3">
      <c r="A27" s="247"/>
      <c r="B27" s="140" t="s">
        <v>859</v>
      </c>
      <c r="C27" s="381" t="str">
        <f>IF(C20="","-",EOMONTH(C20,Parametrai!$C$17))</f>
        <v>-</v>
      </c>
      <c r="D27" s="141"/>
      <c r="E27" s="141"/>
      <c r="F27" s="382">
        <f>IF($C$14+SUMIFS($F$17:$F19,$B$17:$B19,"Paramos išmokėjimas*")+SUM(F21:F25)&lt;$C$11,SUM(F21:F25),IF($C$14+SUMIFS($F$17:$F19,$B$17:$B19,"Paramos išmokėjimas*")&lt;=$C$11,$C$11-$C$14-SUMIFS($F$17:$F19,$B$17:$B19,"Paramos išmokėjimas*"),0))</f>
        <v>0</v>
      </c>
      <c r="H27" s="267"/>
      <c r="I27" s="84" t="b">
        <f>OR(SUM(F21:F25)&gt;0)</f>
        <v>0</v>
      </c>
    </row>
    <row r="28" spans="1:11" x14ac:dyDescent="0.3">
      <c r="A28" s="247"/>
      <c r="B28" s="142" t="s">
        <v>336</v>
      </c>
      <c r="C28" s="143"/>
      <c r="D28" s="141"/>
      <c r="E28" s="141"/>
      <c r="F28" s="141"/>
      <c r="H28" s="267"/>
      <c r="I28" s="83"/>
    </row>
    <row r="29" spans="1:11" x14ac:dyDescent="0.3">
      <c r="A29" s="246" t="s">
        <v>354</v>
      </c>
      <c r="B29" s="144" t="s">
        <v>60</v>
      </c>
      <c r="C29" s="141"/>
      <c r="D29" s="141"/>
      <c r="E29" s="335"/>
      <c r="F29" s="141"/>
      <c r="H29" s="267"/>
      <c r="I29" s="83"/>
    </row>
    <row r="30" spans="1:11" x14ac:dyDescent="0.3">
      <c r="A30" s="246" t="s">
        <v>355</v>
      </c>
      <c r="B30" s="144" t="s">
        <v>61</v>
      </c>
      <c r="C30" s="141"/>
      <c r="D30" s="141"/>
      <c r="E30" s="335"/>
      <c r="F30" s="141"/>
      <c r="H30" s="308"/>
      <c r="I30" s="83"/>
    </row>
    <row r="31" spans="1:11" x14ac:dyDescent="0.3">
      <c r="A31" s="246" t="s">
        <v>356</v>
      </c>
      <c r="B31" s="144" t="s">
        <v>62</v>
      </c>
      <c r="C31" s="141"/>
      <c r="D31" s="141"/>
      <c r="E31" s="335"/>
      <c r="F31" s="141"/>
      <c r="H31" s="267"/>
      <c r="I31" s="83"/>
    </row>
    <row r="32" spans="1:11" x14ac:dyDescent="0.3">
      <c r="A32" s="246" t="s">
        <v>357</v>
      </c>
      <c r="B32" s="144" t="s">
        <v>63</v>
      </c>
      <c r="C32" s="141"/>
      <c r="D32" s="141"/>
      <c r="E32" s="335"/>
      <c r="F32" s="141"/>
      <c r="H32" s="267" t="str">
        <f>IF($C$12=Konstantos!$A$91,
    IF(J32&lt;0,
        _xlfn.CONCAT("Klaida! Įvesta per didelė paramos sumą. Sumažinkite: ", J32, " Eur"),
        _xlfn.CONCAT("Paramos likutis etapo investicijų finansavimui: ", J32, " Eur")),
    IF($C$12=Konstantos!$A$93,
        IF(J32&gt;=0,
            _xlfn.CONCAT("Paramos likutis etapo investicijų finansavimui: ", J32, " Eur"),
            _xlfn.CONCAT("Klaida! Įvedėte per didelį paramos dydį: ", J32, " Eur")),
    IF($C$12=Konstantos!$A$92,
        IF(F27&lt;&gt;E32,
            _xlfn.CONCAT("Klaida! Įveskite etapo paramos sumą: ", F27, " Eur"),
            "ok"),
        "Klaida! Pasirinkite paramos išmokėjimo būdą!")))</f>
        <v>Klaida! Pasirinkite paramos išmokėjimo būdą!</v>
      </c>
      <c r="I32" s="84"/>
      <c r="J32" s="84" t="str">
        <f>IF(
    OR(
        $C$12 =
            Konstantos!$A$91,
        $C$12 = Konstantos!$A$93
    ),
    SUMIFS(
        $F$1:$F19,
        $B$1:$B19, "Paramos išmokėjimas*"
    ) + $C$14 -
        SUMIFS(
            $E$1:$E32,
            $B$1:$B32, "Paramos lėšos"
        ),
    IF(
        $C$12 =
            Konstantos!$A$92,
        $F27,
        "-"
    )
)</f>
        <v>-</v>
      </c>
      <c r="K32" s="86"/>
    </row>
    <row r="33" spans="1:11" ht="14.4" thickBot="1" x14ac:dyDescent="0.35">
      <c r="A33" s="243"/>
      <c r="B33" s="241" t="s">
        <v>70</v>
      </c>
      <c r="C33" s="242"/>
      <c r="D33" s="242"/>
      <c r="E33" s="383">
        <f>SUM(E29:E32)</f>
        <v>0</v>
      </c>
      <c r="F33" s="242"/>
      <c r="H33" s="267"/>
      <c r="I33" s="83"/>
    </row>
    <row r="34" spans="1:11" ht="14.4" thickTop="1" x14ac:dyDescent="0.3">
      <c r="A34" s="245" t="s">
        <v>358</v>
      </c>
      <c r="B34" s="237" t="s">
        <v>42</v>
      </c>
      <c r="C34" s="334"/>
      <c r="D34" s="238"/>
      <c r="E34" s="238"/>
      <c r="F34" s="238"/>
      <c r="H34" s="267" t="str">
        <f>IF(AND(C34="",D40&lt;&gt;0),"Klaida! Įveskite etapo paramos išmokėjimo prašymo pateikimo datą","ok")</f>
        <v>ok</v>
      </c>
      <c r="I34" s="83"/>
    </row>
    <row r="35" spans="1:11" x14ac:dyDescent="0.3">
      <c r="A35" s="246" t="s">
        <v>359</v>
      </c>
      <c r="B35" s="503"/>
      <c r="C35" s="504"/>
      <c r="D35" s="335"/>
      <c r="E35" s="335"/>
      <c r="F35" s="335"/>
      <c r="H35" s="267"/>
      <c r="I35" s="83"/>
    </row>
    <row r="36" spans="1:11" x14ac:dyDescent="0.3">
      <c r="A36" s="246" t="s">
        <v>360</v>
      </c>
      <c r="B36" s="503"/>
      <c r="C36" s="504"/>
      <c r="D36" s="335"/>
      <c r="E36" s="335"/>
      <c r="F36" s="335"/>
      <c r="H36" s="267"/>
      <c r="I36" s="83"/>
    </row>
    <row r="37" spans="1:11" x14ac:dyDescent="0.3">
      <c r="A37" s="246" t="s">
        <v>361</v>
      </c>
      <c r="B37" s="503"/>
      <c r="C37" s="504"/>
      <c r="D37" s="335"/>
      <c r="E37" s="335"/>
      <c r="F37" s="335"/>
      <c r="H37" s="267"/>
      <c r="I37" s="83"/>
    </row>
    <row r="38" spans="1:11" x14ac:dyDescent="0.3">
      <c r="A38" s="246" t="s">
        <v>362</v>
      </c>
      <c r="B38" s="503"/>
      <c r="C38" s="504"/>
      <c r="D38" s="335"/>
      <c r="E38" s="335"/>
      <c r="F38" s="335"/>
      <c r="H38" s="267"/>
      <c r="I38" s="83"/>
    </row>
    <row r="39" spans="1:11" x14ac:dyDescent="0.3">
      <c r="A39" s="246" t="s">
        <v>363</v>
      </c>
      <c r="B39" s="503"/>
      <c r="C39" s="504"/>
      <c r="D39" s="335"/>
      <c r="E39" s="335"/>
      <c r="F39" s="335"/>
      <c r="H39" s="267"/>
      <c r="I39" s="83"/>
    </row>
    <row r="40" spans="1:11" x14ac:dyDescent="0.3">
      <c r="A40" s="247"/>
      <c r="B40" s="139" t="s">
        <v>444</v>
      </c>
      <c r="C40" s="381" t="str">
        <f>IF(C34="","-",C34)</f>
        <v>-</v>
      </c>
      <c r="D40" s="382">
        <f>SUM(D35:D39)</f>
        <v>0</v>
      </c>
      <c r="E40" s="382">
        <f>SUM(E35:E39)</f>
        <v>0</v>
      </c>
      <c r="F40" s="248"/>
      <c r="H40" s="267"/>
      <c r="I40" s="83"/>
    </row>
    <row r="41" spans="1:11" ht="24" x14ac:dyDescent="0.3">
      <c r="A41" s="247"/>
      <c r="B41" s="140" t="s">
        <v>860</v>
      </c>
      <c r="C41" s="381" t="str">
        <f>IF(C34="","-",EOMONTH(C34,Parametrai!$C$17))</f>
        <v>-</v>
      </c>
      <c r="D41" s="141"/>
      <c r="E41" s="141"/>
      <c r="F41" s="382">
        <f>IF($C$14+SUMIFS($F$17:$F33,$B$17:$B33,"Paramos išmokėjimas*")+SUM(F35:F39)&lt;$C$11,SUM(F35:F39),IF($C$14+SUMIFS($F$17:$F33,$B$17:$B33,"Paramos išmokėjimas*")&lt;=$C$11,$C$11-$C$14-SUMIFS($F$17:$F33,$B$17:$B33,"Paramos išmokėjimas*"),0))</f>
        <v>0</v>
      </c>
      <c r="H41" s="267"/>
      <c r="I41" s="84" t="b">
        <f>OR(SUM(F35:F39)&gt;0)</f>
        <v>0</v>
      </c>
      <c r="J41" s="84"/>
    </row>
    <row r="42" spans="1:11" x14ac:dyDescent="0.3">
      <c r="A42" s="247"/>
      <c r="B42" s="142" t="s">
        <v>336</v>
      </c>
      <c r="C42" s="141"/>
      <c r="D42" s="141"/>
      <c r="E42" s="141"/>
      <c r="F42" s="141"/>
      <c r="H42" s="267"/>
      <c r="I42" s="83"/>
    </row>
    <row r="43" spans="1:11" x14ac:dyDescent="0.3">
      <c r="A43" s="246" t="s">
        <v>364</v>
      </c>
      <c r="B43" s="144" t="s">
        <v>60</v>
      </c>
      <c r="C43" s="141"/>
      <c r="D43" s="141"/>
      <c r="E43" s="335"/>
      <c r="F43" s="141"/>
      <c r="H43" s="267"/>
      <c r="I43" s="83"/>
    </row>
    <row r="44" spans="1:11" x14ac:dyDescent="0.3">
      <c r="A44" s="246" t="s">
        <v>365</v>
      </c>
      <c r="B44" s="144" t="s">
        <v>61</v>
      </c>
      <c r="C44" s="141"/>
      <c r="D44" s="141"/>
      <c r="E44" s="335"/>
      <c r="F44" s="141"/>
      <c r="H44" s="267"/>
      <c r="I44" s="83"/>
    </row>
    <row r="45" spans="1:11" x14ac:dyDescent="0.3">
      <c r="A45" s="246" t="s">
        <v>366</v>
      </c>
      <c r="B45" s="144" t="s">
        <v>62</v>
      </c>
      <c r="C45" s="141"/>
      <c r="D45" s="141"/>
      <c r="E45" s="335"/>
      <c r="F45" s="141"/>
      <c r="H45" s="267"/>
      <c r="I45" s="83"/>
    </row>
    <row r="46" spans="1:11" x14ac:dyDescent="0.3">
      <c r="A46" s="246" t="s">
        <v>367</v>
      </c>
      <c r="B46" s="144" t="s">
        <v>63</v>
      </c>
      <c r="C46" s="141"/>
      <c r="D46" s="141"/>
      <c r="E46" s="335"/>
      <c r="F46" s="141"/>
      <c r="H46" s="267" t="str">
        <f>IF($C$12=Konstantos!$A$91,
    IF(J46&lt;0,
        _xlfn.CONCAT("Klaida! Įvesta per didelė paramos sumą. Sumažinkite: ", J46, " Eur"),
        _xlfn.CONCAT("Paramos likutis etapo investicijų finansavimui: ", J46, " Eur")),
    IF($C$12=Konstantos!$A$93,
        IF(J46&gt;=0,
            _xlfn.CONCAT("Paramos likutis etapo investicijų finansavimui: ", J46, " Eur"),
            _xlfn.CONCAT("Klaida! Įvedėte per didelį paramos dydį: ", J46, " Eur")),
    IF($C$12=Konstantos!$A$92,
        IF(F41&lt;&gt;E46,
            _xlfn.CONCAT("Klaida! Įveskite etapo paramos sumą: ", F41, " Eur"),
            "ok"),
        "Klaida! Pasirinkite paramos išmokėjimo būdą!")))</f>
        <v>Klaida! Pasirinkite paramos išmokėjimo būdą!</v>
      </c>
      <c r="I46" s="84"/>
      <c r="J46" s="84" t="str">
        <f>IF(
    OR(
        $C$12 =
            Konstantos!$A$91,
        $C$12 = Konstantos!$A$93
    ),
    SUMIFS(
        $F$1:$F33,
        $B$1:$B33, "Paramos išmokėjimas*"
    ) + $C$14 -
        SUMIFS(
            $E$1:$E46,
            $B$1:$B46, "Paramos lėšos"
        ),
    IF(
        $C$12 =
            Konstantos!$A$92,
        $F41,
        "-"
    )
)</f>
        <v>-</v>
      </c>
      <c r="K46" s="86"/>
    </row>
    <row r="47" spans="1:11" ht="14.4" thickBot="1" x14ac:dyDescent="0.35">
      <c r="A47" s="243"/>
      <c r="B47" s="241" t="s">
        <v>70</v>
      </c>
      <c r="C47" s="242"/>
      <c r="D47" s="242"/>
      <c r="E47" s="383">
        <f>SUM(E43:E46)</f>
        <v>0</v>
      </c>
      <c r="F47" s="242"/>
      <c r="H47" s="267"/>
      <c r="I47" s="83"/>
    </row>
    <row r="48" spans="1:11" ht="14.4" thickTop="1" x14ac:dyDescent="0.3">
      <c r="A48" s="245" t="s">
        <v>368</v>
      </c>
      <c r="B48" s="238" t="s">
        <v>71</v>
      </c>
      <c r="C48" s="334"/>
      <c r="D48" s="238"/>
      <c r="E48" s="238"/>
      <c r="F48" s="238"/>
      <c r="H48" s="267" t="str">
        <f>IF(AND(C48="",D54&lt;&gt;0),"Klaida! Įveskite etapo paramos išmokėjimo prašymo pateikimo datą","ok")</f>
        <v>ok</v>
      </c>
      <c r="I48" s="83"/>
    </row>
    <row r="49" spans="1:11" x14ac:dyDescent="0.3">
      <c r="A49" s="246" t="s">
        <v>369</v>
      </c>
      <c r="B49" s="503"/>
      <c r="C49" s="504"/>
      <c r="D49" s="335"/>
      <c r="E49" s="335"/>
      <c r="F49" s="335"/>
      <c r="H49" s="267"/>
      <c r="I49" s="83"/>
    </row>
    <row r="50" spans="1:11" x14ac:dyDescent="0.3">
      <c r="A50" s="246" t="s">
        <v>370</v>
      </c>
      <c r="B50" s="503"/>
      <c r="C50" s="504"/>
      <c r="D50" s="335"/>
      <c r="E50" s="335"/>
      <c r="F50" s="335"/>
      <c r="H50" s="267"/>
      <c r="I50" s="83"/>
    </row>
    <row r="51" spans="1:11" x14ac:dyDescent="0.3">
      <c r="A51" s="246" t="s">
        <v>371</v>
      </c>
      <c r="B51" s="503"/>
      <c r="C51" s="504"/>
      <c r="D51" s="335"/>
      <c r="E51" s="335"/>
      <c r="F51" s="335"/>
      <c r="H51" s="267"/>
      <c r="I51" s="83"/>
    </row>
    <row r="52" spans="1:11" x14ac:dyDescent="0.3">
      <c r="A52" s="246" t="s">
        <v>372</v>
      </c>
      <c r="B52" s="503"/>
      <c r="C52" s="504"/>
      <c r="D52" s="335"/>
      <c r="E52" s="335"/>
      <c r="F52" s="335"/>
      <c r="H52" s="267"/>
      <c r="I52" s="83"/>
    </row>
    <row r="53" spans="1:11" x14ac:dyDescent="0.3">
      <c r="A53" s="246" t="s">
        <v>373</v>
      </c>
      <c r="B53" s="503"/>
      <c r="C53" s="504"/>
      <c r="D53" s="335"/>
      <c r="E53" s="335"/>
      <c r="F53" s="335"/>
      <c r="H53" s="267"/>
      <c r="I53" s="83"/>
    </row>
    <row r="54" spans="1:11" x14ac:dyDescent="0.3">
      <c r="A54" s="247"/>
      <c r="B54" s="139" t="s">
        <v>444</v>
      </c>
      <c r="C54" s="381" t="str">
        <f>IF(C48="","-",C48)</f>
        <v>-</v>
      </c>
      <c r="D54" s="382">
        <f>SUM(D49:D53)</f>
        <v>0</v>
      </c>
      <c r="E54" s="382">
        <f>SUM(E49:E53)</f>
        <v>0</v>
      </c>
      <c r="F54" s="248"/>
      <c r="H54" s="267"/>
      <c r="I54" s="83"/>
    </row>
    <row r="55" spans="1:11" ht="24" x14ac:dyDescent="0.3">
      <c r="A55" s="247"/>
      <c r="B55" s="140" t="s">
        <v>861</v>
      </c>
      <c r="C55" s="381" t="str">
        <f>IF(C48="","-",EOMONTH(C48,Parametrai!$C$17))</f>
        <v>-</v>
      </c>
      <c r="D55" s="141"/>
      <c r="E55" s="141"/>
      <c r="F55" s="382">
        <f>IF($C$14+SUMIFS($F$17:$F47,$B$17:$B47,"Paramos išmokėjimas*")+SUM(F49:F53)&lt;$C$11,SUM(F49:F53),IF($C$14+SUMIFS($F$17:$F47,$B$17:$B47,"Paramos išmokėjimas*")&lt;=$C$11,$C$11-$C$14-SUMIFS($F$17:$F47,$B$17:$B47,"Paramos išmokėjimas*"),0))</f>
        <v>0</v>
      </c>
      <c r="H55" s="267"/>
      <c r="I55" s="84" t="b">
        <f>OR(SUM(F49:F53)&gt;0)</f>
        <v>0</v>
      </c>
      <c r="J55" s="84"/>
    </row>
    <row r="56" spans="1:11" x14ac:dyDescent="0.3">
      <c r="A56" s="247"/>
      <c r="B56" s="142" t="s">
        <v>336</v>
      </c>
      <c r="C56" s="141"/>
      <c r="D56" s="141"/>
      <c r="E56" s="141"/>
      <c r="F56" s="141"/>
      <c r="H56" s="267"/>
      <c r="I56" s="83"/>
    </row>
    <row r="57" spans="1:11" x14ac:dyDescent="0.3">
      <c r="A57" s="246" t="s">
        <v>386</v>
      </c>
      <c r="B57" s="144" t="s">
        <v>60</v>
      </c>
      <c r="C57" s="141"/>
      <c r="D57" s="141"/>
      <c r="E57" s="335"/>
      <c r="F57" s="141"/>
      <c r="H57" s="267"/>
      <c r="I57" s="83"/>
    </row>
    <row r="58" spans="1:11" x14ac:dyDescent="0.3">
      <c r="A58" s="246" t="s">
        <v>387</v>
      </c>
      <c r="B58" s="144" t="s">
        <v>61</v>
      </c>
      <c r="C58" s="141"/>
      <c r="D58" s="141"/>
      <c r="E58" s="335"/>
      <c r="F58" s="141"/>
      <c r="H58" s="267"/>
      <c r="I58" s="83"/>
    </row>
    <row r="59" spans="1:11" x14ac:dyDescent="0.3">
      <c r="A59" s="246" t="s">
        <v>388</v>
      </c>
      <c r="B59" s="144" t="s">
        <v>62</v>
      </c>
      <c r="C59" s="141"/>
      <c r="D59" s="141"/>
      <c r="E59" s="335"/>
      <c r="F59" s="141"/>
      <c r="H59" s="267"/>
      <c r="I59" s="83"/>
    </row>
    <row r="60" spans="1:11" x14ac:dyDescent="0.3">
      <c r="A60" s="246" t="s">
        <v>389</v>
      </c>
      <c r="B60" s="144" t="s">
        <v>63</v>
      </c>
      <c r="C60" s="141"/>
      <c r="D60" s="141"/>
      <c r="E60" s="335"/>
      <c r="F60" s="141"/>
      <c r="H60" s="267" t="str">
        <f>IF($C$12=Konstantos!$A$91,
    IF(J60&lt;0,
        _xlfn.CONCAT("Klaida! Įvesta per didelė paramos sumą. Sumažinkite: ", J60, " Eur"),
        _xlfn.CONCAT("Paramos likutis etapo investicijų finansavimui: ", J60, " Eur")),
    IF($C$12=Konstantos!$A$93,
        IF(J60&gt;=0,
            _xlfn.CONCAT("Paramos likutis etapo investicijų finansavimui: ", J60, " Eur"),
            _xlfn.CONCAT("Klaida! Įvedėte per didelį paramos dydį: ", J60, " Eur")),
    IF($C$12=Konstantos!$A$92,
        IF(F55&lt;&gt;E60,
            _xlfn.CONCAT("Klaida! Įveskite etapo paramos sumą: ", F55, " Eur"),
            "ok"),
        "Klaida! Pasirinkite paramos išmokėjimo būdą!")))</f>
        <v>Klaida! Pasirinkite paramos išmokėjimo būdą!</v>
      </c>
      <c r="I60" s="84"/>
      <c r="J60" s="84" t="str">
        <f>IF(
    OR(
        $C$12 =
            Konstantos!$A$91,
        $C$12 = Konstantos!$A$93
    ),
    SUMIFS(
        $F$1:$F47,
        $B$1:$B47, "Paramos išmokėjimas*"
    ) + $C$14 -
        SUMIFS(
            $E$1:$E60,
            $B$1:$B60, "Paramos lėšos"
        ),
    IF(
        $C$12 =
            Konstantos!$A$92,
        $F55,
        "-"
    )
)</f>
        <v>-</v>
      </c>
      <c r="K60" s="86"/>
    </row>
    <row r="61" spans="1:11" ht="14.4" thickBot="1" x14ac:dyDescent="0.35">
      <c r="A61" s="243"/>
      <c r="B61" s="241" t="s">
        <v>70</v>
      </c>
      <c r="C61" s="242"/>
      <c r="D61" s="242"/>
      <c r="E61" s="383">
        <f>SUM(E57:E60)</f>
        <v>0</v>
      </c>
      <c r="F61" s="242"/>
      <c r="H61" s="267"/>
      <c r="I61" s="83"/>
    </row>
    <row r="62" spans="1:11" ht="14.4" thickTop="1" x14ac:dyDescent="0.3">
      <c r="A62" s="245" t="s">
        <v>374</v>
      </c>
      <c r="B62" s="238" t="s">
        <v>72</v>
      </c>
      <c r="C62" s="334"/>
      <c r="D62" s="238"/>
      <c r="E62" s="238"/>
      <c r="F62" s="238"/>
      <c r="H62" s="267" t="str">
        <f>IF(AND(C62="",D68&lt;&gt;0),"Klaida! Įveskite etapo paramos išmokėjimo prašymo pateikimo datą","ok")</f>
        <v>ok</v>
      </c>
      <c r="I62" s="83"/>
    </row>
    <row r="63" spans="1:11" x14ac:dyDescent="0.3">
      <c r="A63" s="246" t="s">
        <v>375</v>
      </c>
      <c r="B63" s="503"/>
      <c r="C63" s="504"/>
      <c r="D63" s="335"/>
      <c r="E63" s="335"/>
      <c r="F63" s="335"/>
      <c r="H63" s="267"/>
      <c r="I63" s="83"/>
    </row>
    <row r="64" spans="1:11" x14ac:dyDescent="0.3">
      <c r="A64" s="246" t="s">
        <v>376</v>
      </c>
      <c r="B64" s="503"/>
      <c r="C64" s="504"/>
      <c r="D64" s="335"/>
      <c r="E64" s="335"/>
      <c r="F64" s="335"/>
      <c r="H64" s="267"/>
      <c r="I64" s="83"/>
    </row>
    <row r="65" spans="1:11" x14ac:dyDescent="0.3">
      <c r="A65" s="246" t="s">
        <v>377</v>
      </c>
      <c r="B65" s="503"/>
      <c r="C65" s="504"/>
      <c r="D65" s="335"/>
      <c r="E65" s="335"/>
      <c r="F65" s="335"/>
      <c r="H65" s="267"/>
      <c r="I65" s="83"/>
    </row>
    <row r="66" spans="1:11" x14ac:dyDescent="0.3">
      <c r="A66" s="246" t="s">
        <v>378</v>
      </c>
      <c r="B66" s="503"/>
      <c r="C66" s="504"/>
      <c r="D66" s="335"/>
      <c r="E66" s="335"/>
      <c r="F66" s="335"/>
      <c r="H66" s="267"/>
      <c r="I66" s="83"/>
    </row>
    <row r="67" spans="1:11" x14ac:dyDescent="0.3">
      <c r="A67" s="246" t="s">
        <v>379</v>
      </c>
      <c r="B67" s="503"/>
      <c r="C67" s="504"/>
      <c r="D67" s="335"/>
      <c r="E67" s="335"/>
      <c r="F67" s="335"/>
      <c r="H67" s="267"/>
      <c r="I67" s="83"/>
    </row>
    <row r="68" spans="1:11" x14ac:dyDescent="0.3">
      <c r="A68" s="247"/>
      <c r="B68" s="139" t="s">
        <v>444</v>
      </c>
      <c r="C68" s="381" t="str">
        <f>IF(C62="","-",C62)</f>
        <v>-</v>
      </c>
      <c r="D68" s="382">
        <f>SUM(D63:D67)</f>
        <v>0</v>
      </c>
      <c r="E68" s="382">
        <f>SUM(E63:E67)</f>
        <v>0</v>
      </c>
      <c r="F68" s="248"/>
      <c r="H68" s="267"/>
      <c r="I68" s="83"/>
    </row>
    <row r="69" spans="1:11" ht="24" x14ac:dyDescent="0.3">
      <c r="A69" s="247"/>
      <c r="B69" s="140" t="s">
        <v>862</v>
      </c>
      <c r="C69" s="381" t="str">
        <f>IF(C62="","-",EOMONTH(C62,Parametrai!$C$17))</f>
        <v>-</v>
      </c>
      <c r="D69" s="141"/>
      <c r="E69" s="141"/>
      <c r="F69" s="382">
        <f>IF($C$14+SUMIFS($F$17:$F61,$B$17:$B61,"Paramos išmokėjimas*")+SUM(F63:F67)&lt;$C$11,SUM(F63:F67),IF($C$14+SUMIFS($F$17:$F61,$B$17:$B61,"Paramos išmokėjimas*")&lt;=$C$11,$C$11-$C$14-SUMIFS($F$17:$F61,$B$17:$B61,"Paramos išmokėjimas*"),0))</f>
        <v>0</v>
      </c>
      <c r="H69" s="267"/>
      <c r="I69" s="84" t="b">
        <f>OR(SUM(F63:F67)&gt;0)</f>
        <v>0</v>
      </c>
    </row>
    <row r="70" spans="1:11" x14ac:dyDescent="0.3">
      <c r="A70" s="247"/>
      <c r="B70" s="142" t="s">
        <v>336</v>
      </c>
      <c r="C70" s="141"/>
      <c r="D70" s="141"/>
      <c r="E70" s="141"/>
      <c r="F70" s="141"/>
      <c r="H70" s="267"/>
      <c r="I70" s="83"/>
    </row>
    <row r="71" spans="1:11" x14ac:dyDescent="0.3">
      <c r="A71" s="246" t="s">
        <v>390</v>
      </c>
      <c r="B71" s="144" t="s">
        <v>60</v>
      </c>
      <c r="C71" s="141"/>
      <c r="D71" s="141"/>
      <c r="E71" s="335"/>
      <c r="F71" s="141"/>
      <c r="H71" s="267"/>
      <c r="I71" s="83"/>
    </row>
    <row r="72" spans="1:11" x14ac:dyDescent="0.3">
      <c r="A72" s="246" t="s">
        <v>391</v>
      </c>
      <c r="B72" s="144" t="s">
        <v>61</v>
      </c>
      <c r="C72" s="141"/>
      <c r="D72" s="141"/>
      <c r="E72" s="335"/>
      <c r="F72" s="141"/>
      <c r="H72" s="267"/>
      <c r="I72" s="83"/>
    </row>
    <row r="73" spans="1:11" x14ac:dyDescent="0.3">
      <c r="A73" s="246" t="s">
        <v>392</v>
      </c>
      <c r="B73" s="144" t="s">
        <v>62</v>
      </c>
      <c r="C73" s="141"/>
      <c r="D73" s="141"/>
      <c r="E73" s="335"/>
      <c r="F73" s="141"/>
      <c r="H73" s="267"/>
      <c r="I73" s="83"/>
    </row>
    <row r="74" spans="1:11" x14ac:dyDescent="0.3">
      <c r="A74" s="246" t="s">
        <v>393</v>
      </c>
      <c r="B74" s="144" t="s">
        <v>63</v>
      </c>
      <c r="C74" s="141"/>
      <c r="D74" s="141"/>
      <c r="E74" s="335"/>
      <c r="F74" s="141"/>
      <c r="H74" s="267" t="str">
        <f>IF($C$12=Konstantos!$A$91,
    IF(J74&lt;0,
        _xlfn.CONCAT("Klaida! Įvesta per didelė paramos sumą. Sumažinkite: ", J74, " Eur"),
        _xlfn.CONCAT("Paramos likutis etapo investicijų finansavimui: ", J74, " Eur")),
    IF($C$12=Konstantos!$A$93,
        IF(J74&gt;=0,
            _xlfn.CONCAT("Paramos likutis etapo investicijų finansavimui: ", J74, " Eur"),
            _xlfn.CONCAT("Klaida! Įvedėte per didelį paramos dydį: ", J74, " Eur")),
    IF($C$12=Konstantos!$A$92,
        IF(F69&lt;&gt;E74,
            _xlfn.CONCAT("Klaida! Įveskite etapo paramos sumą: ", F69, " Eur"),
            "ok"),
        "Klaida! Pasirinkite paramos išmokėjimo būdą!")))</f>
        <v>Klaida! Pasirinkite paramos išmokėjimo būdą!</v>
      </c>
      <c r="I74" s="84"/>
      <c r="J74" s="84" t="str">
        <f>IF(
    OR(
        $C$12 =
            Konstantos!$A$91,
        $C$12 = Konstantos!$A$93
    ),
    SUMIFS(
        $F$1:$F61,
        $B$1:$B61, "Paramos išmokėjimas*"
    ) + $C$14 -
        SUMIFS(
            $E$1:$E74,
            $B$1:$B74, "Paramos lėšos"
        ),
    IF(
        $C$12 =
            Konstantos!$A$92,
        $F69,
        "-"
    )
)</f>
        <v>-</v>
      </c>
      <c r="K74" s="86"/>
    </row>
    <row r="75" spans="1:11" ht="14.4" thickBot="1" x14ac:dyDescent="0.35">
      <c r="A75" s="243"/>
      <c r="B75" s="241" t="s">
        <v>70</v>
      </c>
      <c r="C75" s="242"/>
      <c r="D75" s="242"/>
      <c r="E75" s="383">
        <f>SUM(E71:E74)</f>
        <v>0</v>
      </c>
      <c r="F75" s="242"/>
      <c r="H75" s="267"/>
      <c r="I75" s="83"/>
    </row>
    <row r="76" spans="1:11" ht="14.4" thickTop="1" x14ac:dyDescent="0.3">
      <c r="A76" s="245" t="s">
        <v>380</v>
      </c>
      <c r="B76" s="238" t="s">
        <v>73</v>
      </c>
      <c r="C76" s="334"/>
      <c r="D76" s="238"/>
      <c r="E76" s="238"/>
      <c r="F76" s="238"/>
      <c r="H76" s="267" t="str">
        <f>IF(AND(C76="",D82&lt;&gt;0),"Klaida! Įveskite etapo paramos išmokėjimo prašymo pateikimo datą","ok")</f>
        <v>ok</v>
      </c>
      <c r="I76" s="83"/>
    </row>
    <row r="77" spans="1:11" x14ac:dyDescent="0.3">
      <c r="A77" s="246" t="s">
        <v>381</v>
      </c>
      <c r="B77" s="503"/>
      <c r="C77" s="504"/>
      <c r="D77" s="335"/>
      <c r="E77" s="335"/>
      <c r="F77" s="335"/>
      <c r="H77" s="267"/>
      <c r="I77" s="83"/>
    </row>
    <row r="78" spans="1:11" x14ac:dyDescent="0.3">
      <c r="A78" s="246" t="s">
        <v>382</v>
      </c>
      <c r="B78" s="503"/>
      <c r="C78" s="504"/>
      <c r="D78" s="335"/>
      <c r="E78" s="335"/>
      <c r="F78" s="335"/>
      <c r="H78" s="267"/>
      <c r="I78" s="83"/>
    </row>
    <row r="79" spans="1:11" x14ac:dyDescent="0.3">
      <c r="A79" s="246" t="s">
        <v>383</v>
      </c>
      <c r="B79" s="503"/>
      <c r="C79" s="504"/>
      <c r="D79" s="335"/>
      <c r="E79" s="335"/>
      <c r="F79" s="335"/>
      <c r="H79" s="267"/>
      <c r="I79" s="83"/>
    </row>
    <row r="80" spans="1:11" x14ac:dyDescent="0.3">
      <c r="A80" s="246" t="s">
        <v>384</v>
      </c>
      <c r="B80" s="503"/>
      <c r="C80" s="504"/>
      <c r="D80" s="335"/>
      <c r="E80" s="335"/>
      <c r="F80" s="335"/>
      <c r="H80" s="267"/>
      <c r="I80" s="83"/>
    </row>
    <row r="81" spans="1:11" x14ac:dyDescent="0.3">
      <c r="A81" s="246" t="s">
        <v>385</v>
      </c>
      <c r="B81" s="503"/>
      <c r="C81" s="504"/>
      <c r="D81" s="335"/>
      <c r="E81" s="335"/>
      <c r="F81" s="335"/>
      <c r="H81" s="267"/>
      <c r="I81" s="83"/>
    </row>
    <row r="82" spans="1:11" x14ac:dyDescent="0.3">
      <c r="A82" s="247"/>
      <c r="B82" s="139" t="s">
        <v>444</v>
      </c>
      <c r="C82" s="381" t="str">
        <f>IF(C76="","-",C76)</f>
        <v>-</v>
      </c>
      <c r="D82" s="382">
        <f>SUM(D77:D81)</f>
        <v>0</v>
      </c>
      <c r="E82" s="382">
        <f>SUM(E77:E81)</f>
        <v>0</v>
      </c>
      <c r="F82" s="248"/>
      <c r="H82" s="267"/>
      <c r="I82" s="83"/>
    </row>
    <row r="83" spans="1:11" ht="24" x14ac:dyDescent="0.3">
      <c r="A83" s="247"/>
      <c r="B83" s="140" t="s">
        <v>862</v>
      </c>
      <c r="C83" s="381" t="str">
        <f>IF(C76="","-",EOMONTH(C76,Parametrai!$C$17))</f>
        <v>-</v>
      </c>
      <c r="D83" s="141"/>
      <c r="E83" s="141"/>
      <c r="F83" s="382">
        <f>IF($C$14+SUMIFS($F$17:$F75,$B$17:$B75,"Paramos išmokėjimas*")+SUM(F77:F81)&lt;$C$11,SUM(F77:F81),IF($C$14+SUMIFS($F$17:$F75,$B$17:$B75,"Paramos išmokėjimas*")&lt;=$C$11,$C$11-$C$14-SUMIFS($F$17:$F75,$B$17:$B75,"Paramos išmokėjimas*"),0))</f>
        <v>0</v>
      </c>
      <c r="H83" s="267"/>
      <c r="I83" s="84" t="b">
        <f>OR(SUM(F77:F81)&gt;0)</f>
        <v>0</v>
      </c>
    </row>
    <row r="84" spans="1:11" x14ac:dyDescent="0.3">
      <c r="A84" s="247"/>
      <c r="B84" s="142" t="s">
        <v>336</v>
      </c>
      <c r="C84" s="141"/>
      <c r="D84" s="141"/>
      <c r="E84" s="141"/>
      <c r="F84" s="141"/>
      <c r="H84" s="267"/>
      <c r="I84" s="83"/>
    </row>
    <row r="85" spans="1:11" x14ac:dyDescent="0.3">
      <c r="A85" s="246" t="s">
        <v>394</v>
      </c>
      <c r="B85" s="144" t="s">
        <v>60</v>
      </c>
      <c r="C85" s="141"/>
      <c r="D85" s="141"/>
      <c r="E85" s="335"/>
      <c r="F85" s="141"/>
      <c r="H85" s="267"/>
      <c r="I85" s="83"/>
    </row>
    <row r="86" spans="1:11" x14ac:dyDescent="0.3">
      <c r="A86" s="246" t="s">
        <v>395</v>
      </c>
      <c r="B86" s="144" t="s">
        <v>61</v>
      </c>
      <c r="C86" s="141"/>
      <c r="D86" s="141"/>
      <c r="E86" s="335"/>
      <c r="F86" s="141"/>
      <c r="H86" s="267"/>
      <c r="I86" s="83"/>
    </row>
    <row r="87" spans="1:11" x14ac:dyDescent="0.3">
      <c r="A87" s="246" t="s">
        <v>396</v>
      </c>
      <c r="B87" s="144" t="s">
        <v>62</v>
      </c>
      <c r="C87" s="141"/>
      <c r="D87" s="141"/>
      <c r="E87" s="335"/>
      <c r="F87" s="141"/>
      <c r="H87" s="267"/>
      <c r="I87" s="83"/>
    </row>
    <row r="88" spans="1:11" x14ac:dyDescent="0.3">
      <c r="A88" s="246" t="s">
        <v>397</v>
      </c>
      <c r="B88" s="144" t="s">
        <v>63</v>
      </c>
      <c r="C88" s="141"/>
      <c r="D88" s="141"/>
      <c r="E88" s="335"/>
      <c r="F88" s="141"/>
      <c r="H88" s="267" t="str">
        <f>IF($C$12=Konstantos!$A$91,
    IF(J88&lt;0,
        _xlfn.CONCAT("Klaida! Įvesta per didelė paramos sumą. Sumažinkite: ", J88, " Eur"),
        _xlfn.CONCAT("Paramos likutis etapo investicijų finansavimui: ", J88, " Eur")),
    IF($C$12=Konstantos!$A$93,
        IF(J88&gt;=0,
            _xlfn.CONCAT("Paramos likutis etapo investicijų finansavimui: ", J88, " Eur"),
            _xlfn.CONCAT("Klaida! Įvedėte per didelį paramos dydį: ", J88, " Eur")),
    IF($C$12=Konstantos!$A$92,
        IF(F83&lt;&gt;E88,
            _xlfn.CONCAT("Klaida! Įveskite etapo paramos sumą: ", F83, " Eur"),
            "ok"),
        "Klaida! Pasirinkite paramos išmokėjimo būdą!")))</f>
        <v>Klaida! Pasirinkite paramos išmokėjimo būdą!</v>
      </c>
      <c r="I88" s="84"/>
      <c r="J88" s="84" t="str">
        <f>IF(
    OR(
        $C$12 =
            Konstantos!$A$91,
        $C$12 = Konstantos!$A$93
    ),
    SUMIFS(
        $F$1:$F75,
        $B$1:$B75, "Paramos išmokėjimas*"
    ) + $C$14 -
        SUMIFS(
            $E$1:$E88,
            $B$1:$B88, "Paramos lėšos"
        ),
    IF(
        $C$12 =
            Konstantos!$A$92,
        $F83,
        "-"
    )
)</f>
        <v>-</v>
      </c>
      <c r="K88" s="86"/>
    </row>
    <row r="89" spans="1:11" ht="14.4" thickBot="1" x14ac:dyDescent="0.35">
      <c r="A89" s="243"/>
      <c r="B89" s="241" t="s">
        <v>70</v>
      </c>
      <c r="C89" s="242"/>
      <c r="D89" s="242"/>
      <c r="E89" s="383">
        <f>SUM(E85:E88)</f>
        <v>0</v>
      </c>
      <c r="F89" s="242"/>
      <c r="H89" s="267"/>
      <c r="I89" s="83"/>
    </row>
    <row r="90" spans="1:11" ht="14.4" thickTop="1" x14ac:dyDescent="0.3"/>
  </sheetData>
  <sheetProtection algorithmName="SHA-512" hashValue="QJb2hOf9czYVm+4gyUvHFzhiqVmQD/gkS16fzs3LwVLgsr3ci25YehMHGlH6MADxaQqMbHkabZhL+NY+j5L7jg==" saltValue="+/4itRLtmk2k3c91ZmrJfw==" spinCount="100000" sheet="1" objects="1" scenarios="1" formatRows="0" insertRows="0"/>
  <mergeCells count="27">
    <mergeCell ref="B77:C77"/>
    <mergeCell ref="B78:C78"/>
    <mergeCell ref="B79:C79"/>
    <mergeCell ref="B80:C80"/>
    <mergeCell ref="B81:C81"/>
    <mergeCell ref="B63:C63"/>
    <mergeCell ref="B64:C64"/>
    <mergeCell ref="B65:C65"/>
    <mergeCell ref="B66:C66"/>
    <mergeCell ref="B67:C67"/>
    <mergeCell ref="B49:C49"/>
    <mergeCell ref="B50:C50"/>
    <mergeCell ref="B51:C51"/>
    <mergeCell ref="B52:C52"/>
    <mergeCell ref="B53:C53"/>
    <mergeCell ref="B24:C24"/>
    <mergeCell ref="B25:C25"/>
    <mergeCell ref="B1:D1"/>
    <mergeCell ref="B17:F17"/>
    <mergeCell ref="B21:C21"/>
    <mergeCell ref="B22:C22"/>
    <mergeCell ref="B23:C23"/>
    <mergeCell ref="B35:C35"/>
    <mergeCell ref="B36:C36"/>
    <mergeCell ref="B37:C37"/>
    <mergeCell ref="B38:C38"/>
    <mergeCell ref="B39:C39"/>
  </mergeCells>
  <phoneticPr fontId="12" type="noConversion"/>
  <conditionalFormatting sqref="C8">
    <cfRule type="expression" dxfId="85" priority="28">
      <formula>$C$8&gt;$C$11</formula>
    </cfRule>
  </conditionalFormatting>
  <conditionalFormatting sqref="C9:C10">
    <cfRule type="expression" dxfId="84" priority="104">
      <formula>$C$10&lt;&gt;$C$9</formula>
    </cfRule>
  </conditionalFormatting>
  <conditionalFormatting sqref="C20">
    <cfRule type="expression" dxfId="83" priority="6">
      <formula>AND(C20="",D26&lt;&gt;0)</formula>
    </cfRule>
  </conditionalFormatting>
  <conditionalFormatting sqref="C34">
    <cfRule type="expression" dxfId="82" priority="8">
      <formula>AND(C34="",D40&lt;&gt;0)</formula>
    </cfRule>
  </conditionalFormatting>
  <conditionalFormatting sqref="C48">
    <cfRule type="expression" dxfId="81" priority="10">
      <formula>AND(C48="",D54&lt;&gt;0)</formula>
    </cfRule>
  </conditionalFormatting>
  <conditionalFormatting sqref="C62">
    <cfRule type="expression" dxfId="80" priority="12">
      <formula>AND(C62="",D68&lt;&gt;0)</formula>
    </cfRule>
  </conditionalFormatting>
  <conditionalFormatting sqref="C76">
    <cfRule type="expression" dxfId="79" priority="15">
      <formula>AND(C76="",D82&lt;&gt;0)</formula>
    </cfRule>
  </conditionalFormatting>
  <conditionalFormatting sqref="D11">
    <cfRule type="expression" dxfId="78" priority="67">
      <formula>$C$11&lt;&gt;$D$11</formula>
    </cfRule>
  </conditionalFormatting>
  <conditionalFormatting sqref="E33">
    <cfRule type="expression" dxfId="77" priority="29">
      <formula>E33&lt;&gt;E26</formula>
    </cfRule>
  </conditionalFormatting>
  <conditionalFormatting sqref="E47">
    <cfRule type="expression" dxfId="76" priority="30">
      <formula>E47&lt;&gt;E40</formula>
    </cfRule>
  </conditionalFormatting>
  <conditionalFormatting sqref="E61">
    <cfRule type="expression" dxfId="75" priority="31">
      <formula>E61&lt;&gt;E54</formula>
    </cfRule>
  </conditionalFormatting>
  <conditionalFormatting sqref="E75">
    <cfRule type="expression" dxfId="74" priority="106">
      <formula>E75&lt;&gt;E68</formula>
    </cfRule>
  </conditionalFormatting>
  <conditionalFormatting sqref="E89">
    <cfRule type="expression" dxfId="73" priority="32">
      <formula>E89&lt;&gt;E82</formula>
    </cfRule>
  </conditionalFormatting>
  <conditionalFormatting sqref="F19">
    <cfRule type="expression" dxfId="72" priority="27">
      <formula>$F$19&gt;$C$11</formula>
    </cfRule>
  </conditionalFormatting>
  <conditionalFormatting sqref="H12:H13">
    <cfRule type="expression" dxfId="71" priority="101">
      <formula>H12&lt;&gt;"ok"</formula>
    </cfRule>
  </conditionalFormatting>
  <conditionalFormatting sqref="H15">
    <cfRule type="expression" dxfId="70" priority="102">
      <formula>H15&lt;&gt;"ok"</formula>
    </cfRule>
  </conditionalFormatting>
  <conditionalFormatting sqref="H20">
    <cfRule type="expression" dxfId="69" priority="5">
      <formula>ISNUMBER(SEARCH("Klaida", H20))</formula>
    </cfRule>
  </conditionalFormatting>
  <conditionalFormatting sqref="H32">
    <cfRule type="expression" dxfId="68" priority="62">
      <formula>ISNUMBER(SEARCH("Klaida", H32))</formula>
    </cfRule>
  </conditionalFormatting>
  <conditionalFormatting sqref="H34">
    <cfRule type="expression" dxfId="67" priority="7">
      <formula>ISNUMBER(SEARCH("Klaida", H34))</formula>
    </cfRule>
  </conditionalFormatting>
  <conditionalFormatting sqref="H46">
    <cfRule type="expression" dxfId="66" priority="4">
      <formula>ISNUMBER(SEARCH("Klaida", H46))</formula>
    </cfRule>
  </conditionalFormatting>
  <conditionalFormatting sqref="H48">
    <cfRule type="expression" dxfId="65" priority="9">
      <formula>ISNUMBER(SEARCH("Klaida", H48))</formula>
    </cfRule>
  </conditionalFormatting>
  <conditionalFormatting sqref="H60">
    <cfRule type="expression" dxfId="64" priority="3">
      <formula>ISNUMBER(SEARCH("Klaida", H60))</formula>
    </cfRule>
  </conditionalFormatting>
  <conditionalFormatting sqref="H62">
    <cfRule type="expression" dxfId="63" priority="11">
      <formula>ISNUMBER(SEARCH("Klaida", H62))</formula>
    </cfRule>
  </conditionalFormatting>
  <conditionalFormatting sqref="H74">
    <cfRule type="expression" dxfId="62" priority="2">
      <formula>ISNUMBER(SEARCH("Klaida", H74))</formula>
    </cfRule>
  </conditionalFormatting>
  <conditionalFormatting sqref="H76">
    <cfRule type="expression" dxfId="61" priority="13">
      <formula>ISNUMBER(SEARCH("Klaida", H76))</formula>
    </cfRule>
  </conditionalFormatting>
  <conditionalFormatting sqref="H88">
    <cfRule type="expression" dxfId="60"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130" zoomScaleNormal="130" workbookViewId="0">
      <pane xSplit="2" ySplit="4" topLeftCell="D57" activePane="bottomRight" state="frozen"/>
      <selection activeCell="B1" sqref="B1"/>
      <selection pane="topRight" activeCell="D1" sqref="D1"/>
      <selection pane="bottomLeft" activeCell="B5" sqref="B5"/>
      <selection pane="bottomRight" activeCell="E69" sqref="E69"/>
    </sheetView>
  </sheetViews>
  <sheetFormatPr defaultColWidth="8.6640625" defaultRowHeight="13.8" x14ac:dyDescent="0.3"/>
  <cols>
    <col min="1" max="1" width="2.6640625" style="11" hidden="1" customWidth="1"/>
    <col min="2" max="2" width="6.33203125" style="11" customWidth="1"/>
    <col min="3" max="3" width="33.6640625" style="11" customWidth="1"/>
    <col min="4" max="12" width="10" style="11" customWidth="1"/>
    <col min="13" max="13" width="5.33203125" style="10" customWidth="1"/>
    <col min="14" max="14" width="52.6640625" style="11" customWidth="1"/>
    <col min="15" max="16384" width="8.6640625" style="11"/>
  </cols>
  <sheetData>
    <row r="1" spans="1:18" s="7" customFormat="1" ht="12" customHeight="1" x14ac:dyDescent="0.3">
      <c r="B1" s="145" t="s">
        <v>20</v>
      </c>
      <c r="C1" s="507" t="s">
        <v>543</v>
      </c>
      <c r="D1" s="507"/>
      <c r="E1" s="507"/>
      <c r="F1" s="507"/>
      <c r="G1" s="507"/>
      <c r="H1" s="507"/>
      <c r="I1" s="507"/>
      <c r="J1" s="507"/>
      <c r="K1" s="507"/>
      <c r="L1" s="507"/>
      <c r="M1" s="6"/>
      <c r="N1" s="299" t="s">
        <v>224</v>
      </c>
    </row>
    <row r="2" spans="1:18" ht="10.65" customHeight="1" x14ac:dyDescent="0.3">
      <c r="B2" s="20"/>
      <c r="C2" s="43" t="s">
        <v>433</v>
      </c>
      <c r="D2" s="370">
        <f>D62-SUMIFS('5'!$D:$D,'5'!$C:$C,"&gt;="&amp;DATE('6'!D$4,1,1),'5'!$C:$C,"&lt;="&amp;DATE('6'!D$4,12,31))</f>
        <v>0</v>
      </c>
      <c r="E2" s="369">
        <f>E62-SUMIFS('5'!$D:$D,'5'!$C:$C,"&gt;="&amp;DATE('6'!E$4,1,1),'5'!$C:$C,"&lt;="&amp;DATE('6'!E$4,12,31))</f>
        <v>0</v>
      </c>
      <c r="F2" s="369"/>
      <c r="G2" s="369"/>
      <c r="H2" s="369"/>
      <c r="I2" s="369"/>
      <c r="J2" s="402"/>
      <c r="K2" s="403"/>
      <c r="L2" s="369"/>
      <c r="N2" s="267" t="str">
        <f>IF(COUNTIFS($D$2:$L$2,"&lt;0")&gt;0,"Klaida! Tikrinkite, investicijų suma įvesta 5 skyriuje yra didesnė už įsigijimus šiame skyriuje","ok")</f>
        <v>ok</v>
      </c>
    </row>
    <row r="3" spans="1:18" s="26" customFormat="1" ht="21.45" customHeight="1" x14ac:dyDescent="0.3">
      <c r="A3" s="227"/>
      <c r="B3" s="472" t="s">
        <v>21</v>
      </c>
      <c r="C3" s="491" t="s">
        <v>43</v>
      </c>
      <c r="D3" s="126" t="str">
        <f>IF(AND('1'!$C$22="Verslo pradžia",YEAR('1'!$E$22)=YEAR('1'!$C$11)),"Pradžios metai","Ataskaitiniai metai")</f>
        <v>Ataskaitiniai metai</v>
      </c>
      <c r="E3" s="476" t="s">
        <v>11</v>
      </c>
      <c r="F3" s="477"/>
      <c r="G3" s="477"/>
      <c r="H3" s="477"/>
      <c r="I3" s="477"/>
      <c r="J3" s="477"/>
      <c r="K3" s="477"/>
      <c r="L3" s="477"/>
      <c r="M3" s="25"/>
      <c r="N3" s="267" t="str">
        <f>IF(COUNTIFS($D$2:$L$2,"&gt;0")&gt;0,"Dėmesio! Įsitikinkite, ar tikrai investicijų suma įvesta 5 skyriuje turi būti mažesnė už įsigijimų vertę šiame skyriuje","ok")</f>
        <v>ok</v>
      </c>
    </row>
    <row r="4" spans="1:18" s="26" customFormat="1" ht="12.75" customHeight="1" thickBot="1" x14ac:dyDescent="0.35">
      <c r="A4" s="228"/>
      <c r="B4" s="473"/>
      <c r="C4" s="492"/>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25"/>
      <c r="N4" s="300"/>
    </row>
    <row r="5" spans="1:18" ht="14.4" thickTop="1" x14ac:dyDescent="0.3">
      <c r="B5" s="146" t="s">
        <v>452</v>
      </c>
      <c r="C5" s="147" t="s">
        <v>96</v>
      </c>
      <c r="D5" s="205"/>
      <c r="E5" s="205"/>
      <c r="F5" s="205"/>
      <c r="G5" s="205"/>
      <c r="H5" s="205"/>
      <c r="I5" s="205"/>
      <c r="J5" s="205"/>
      <c r="K5" s="205"/>
      <c r="L5" s="205"/>
      <c r="M5" s="16"/>
      <c r="N5" s="300" t="s">
        <v>331</v>
      </c>
    </row>
    <row r="6" spans="1:18" x14ac:dyDescent="0.3">
      <c r="B6" s="27" t="s">
        <v>453</v>
      </c>
      <c r="C6" s="28" t="s">
        <v>44</v>
      </c>
      <c r="D6" s="336"/>
      <c r="E6" s="384">
        <f>D9</f>
        <v>0</v>
      </c>
      <c r="F6" s="384">
        <f t="shared" ref="F6:L6" si="0">E9</f>
        <v>0</v>
      </c>
      <c r="G6" s="384">
        <f t="shared" si="0"/>
        <v>0</v>
      </c>
      <c r="H6" s="384">
        <f t="shared" si="0"/>
        <v>0</v>
      </c>
      <c r="I6" s="384">
        <f t="shared" si="0"/>
        <v>0</v>
      </c>
      <c r="J6" s="384">
        <f t="shared" si="0"/>
        <v>0</v>
      </c>
      <c r="K6" s="384">
        <f t="shared" si="0"/>
        <v>0</v>
      </c>
      <c r="L6" s="384">
        <f t="shared" si="0"/>
        <v>0</v>
      </c>
      <c r="N6" s="300"/>
      <c r="R6" s="15"/>
    </row>
    <row r="7" spans="1:18" x14ac:dyDescent="0.3">
      <c r="B7" s="27" t="s">
        <v>454</v>
      </c>
      <c r="C7" s="28" t="s">
        <v>45</v>
      </c>
      <c r="D7" s="336"/>
      <c r="E7" s="336"/>
      <c r="F7" s="336"/>
      <c r="G7" s="336"/>
      <c r="H7" s="336"/>
      <c r="I7" s="336"/>
      <c r="J7" s="336"/>
      <c r="K7" s="336"/>
      <c r="L7" s="336"/>
      <c r="N7" s="300"/>
    </row>
    <row r="8" spans="1:18" x14ac:dyDescent="0.3">
      <c r="B8" s="27" t="s">
        <v>455</v>
      </c>
      <c r="C8" s="28" t="s">
        <v>46</v>
      </c>
      <c r="D8" s="336"/>
      <c r="E8" s="336"/>
      <c r="F8" s="336"/>
      <c r="G8" s="336"/>
      <c r="H8" s="336"/>
      <c r="I8" s="336"/>
      <c r="J8" s="336"/>
      <c r="K8" s="336"/>
      <c r="L8" s="336"/>
      <c r="N8" s="300"/>
    </row>
    <row r="9" spans="1:18" x14ac:dyDescent="0.3">
      <c r="B9" s="27" t="s">
        <v>456</v>
      </c>
      <c r="C9" s="206" t="s">
        <v>54</v>
      </c>
      <c r="D9" s="385">
        <f>SUM(D6,D7)-D8</f>
        <v>0</v>
      </c>
      <c r="E9" s="385">
        <f>SUM(E6,E7)-E8</f>
        <v>0</v>
      </c>
      <c r="F9" s="385">
        <f t="shared" ref="F9:L9" si="1">SUM(F6,F7)-F8</f>
        <v>0</v>
      </c>
      <c r="G9" s="385">
        <f t="shared" si="1"/>
        <v>0</v>
      </c>
      <c r="H9" s="385">
        <f t="shared" si="1"/>
        <v>0</v>
      </c>
      <c r="I9" s="385">
        <f t="shared" si="1"/>
        <v>0</v>
      </c>
      <c r="J9" s="385">
        <f t="shared" si="1"/>
        <v>0</v>
      </c>
      <c r="K9" s="385">
        <f t="shared" si="1"/>
        <v>0</v>
      </c>
      <c r="L9" s="385">
        <f t="shared" si="1"/>
        <v>0</v>
      </c>
      <c r="N9" s="300"/>
    </row>
    <row r="10" spans="1:18" x14ac:dyDescent="0.3">
      <c r="B10" s="148" t="s">
        <v>451</v>
      </c>
      <c r="C10" s="149" t="s">
        <v>38</v>
      </c>
      <c r="D10" s="192"/>
      <c r="E10" s="192"/>
      <c r="F10" s="192"/>
      <c r="G10" s="192"/>
      <c r="H10" s="192"/>
      <c r="I10" s="192"/>
      <c r="J10" s="192"/>
      <c r="K10" s="192"/>
      <c r="L10" s="192"/>
      <c r="N10" s="267" t="s">
        <v>332</v>
      </c>
    </row>
    <row r="11" spans="1:18" x14ac:dyDescent="0.3">
      <c r="B11" s="27" t="s">
        <v>457</v>
      </c>
      <c r="C11" s="29" t="s">
        <v>47</v>
      </c>
      <c r="D11" s="336"/>
      <c r="E11" s="384">
        <f>D14</f>
        <v>0</v>
      </c>
      <c r="F11" s="384">
        <f t="shared" ref="F11:L11" si="2">E14</f>
        <v>0</v>
      </c>
      <c r="G11" s="384">
        <f t="shared" si="2"/>
        <v>0</v>
      </c>
      <c r="H11" s="384">
        <f t="shared" si="2"/>
        <v>0</v>
      </c>
      <c r="I11" s="384">
        <f t="shared" si="2"/>
        <v>0</v>
      </c>
      <c r="J11" s="384">
        <f t="shared" si="2"/>
        <v>0</v>
      </c>
      <c r="K11" s="384">
        <f t="shared" si="2"/>
        <v>0</v>
      </c>
      <c r="L11" s="384">
        <f t="shared" si="2"/>
        <v>0</v>
      </c>
      <c r="N11" s="300"/>
    </row>
    <row r="12" spans="1:18" x14ac:dyDescent="0.3">
      <c r="B12" s="27" t="s">
        <v>458</v>
      </c>
      <c r="C12" s="30" t="s">
        <v>45</v>
      </c>
      <c r="D12" s="336"/>
      <c r="E12" s="336"/>
      <c r="F12" s="336"/>
      <c r="G12" s="336"/>
      <c r="H12" s="336"/>
      <c r="I12" s="336"/>
      <c r="J12" s="336"/>
      <c r="K12" s="336"/>
      <c r="L12" s="336"/>
      <c r="N12" s="300"/>
      <c r="Q12" s="15"/>
    </row>
    <row r="13" spans="1:18" x14ac:dyDescent="0.3">
      <c r="B13" s="27" t="s">
        <v>459</v>
      </c>
      <c r="C13" s="30" t="s">
        <v>48</v>
      </c>
      <c r="D13" s="336"/>
      <c r="E13" s="336"/>
      <c r="F13" s="336"/>
      <c r="G13" s="336"/>
      <c r="H13" s="336"/>
      <c r="I13" s="336"/>
      <c r="J13" s="336"/>
      <c r="K13" s="336"/>
      <c r="L13" s="336"/>
      <c r="N13" s="300"/>
    </row>
    <row r="14" spans="1:18" x14ac:dyDescent="0.3">
      <c r="B14" s="27" t="s">
        <v>460</v>
      </c>
      <c r="C14" s="29" t="s">
        <v>49</v>
      </c>
      <c r="D14" s="384">
        <f t="shared" ref="D14:L14" si="3">+D11+D12-D13</f>
        <v>0</v>
      </c>
      <c r="E14" s="384">
        <f t="shared" si="3"/>
        <v>0</v>
      </c>
      <c r="F14" s="384">
        <f t="shared" si="3"/>
        <v>0</v>
      </c>
      <c r="G14" s="384">
        <f t="shared" si="3"/>
        <v>0</v>
      </c>
      <c r="H14" s="384">
        <f t="shared" si="3"/>
        <v>0</v>
      </c>
      <c r="I14" s="384">
        <f t="shared" si="3"/>
        <v>0</v>
      </c>
      <c r="J14" s="384">
        <f t="shared" si="3"/>
        <v>0</v>
      </c>
      <c r="K14" s="384">
        <f t="shared" si="3"/>
        <v>0</v>
      </c>
      <c r="L14" s="384">
        <f t="shared" si="3"/>
        <v>0</v>
      </c>
      <c r="N14" s="300"/>
    </row>
    <row r="15" spans="1:18" x14ac:dyDescent="0.3">
      <c r="B15" s="27" t="s">
        <v>461</v>
      </c>
      <c r="C15" s="29" t="s">
        <v>50</v>
      </c>
      <c r="D15" s="336"/>
      <c r="E15" s="384">
        <f>+D18</f>
        <v>0</v>
      </c>
      <c r="F15" s="384">
        <f t="shared" ref="F15:L15" si="4">+E18</f>
        <v>0</v>
      </c>
      <c r="G15" s="384">
        <f t="shared" si="4"/>
        <v>0</v>
      </c>
      <c r="H15" s="384">
        <f t="shared" si="4"/>
        <v>0</v>
      </c>
      <c r="I15" s="384">
        <f t="shared" si="4"/>
        <v>0</v>
      </c>
      <c r="J15" s="384">
        <f t="shared" si="4"/>
        <v>0</v>
      </c>
      <c r="K15" s="384">
        <f t="shared" si="4"/>
        <v>0</v>
      </c>
      <c r="L15" s="384">
        <f t="shared" si="4"/>
        <v>0</v>
      </c>
      <c r="N15" s="300"/>
    </row>
    <row r="16" spans="1:18" x14ac:dyDescent="0.3">
      <c r="B16" s="27" t="s">
        <v>462</v>
      </c>
      <c r="C16" s="30" t="s">
        <v>51</v>
      </c>
      <c r="D16" s="336"/>
      <c r="E16" s="336"/>
      <c r="F16" s="336"/>
      <c r="G16" s="336"/>
      <c r="H16" s="336"/>
      <c r="I16" s="336"/>
      <c r="J16" s="336"/>
      <c r="K16" s="336"/>
      <c r="L16" s="336"/>
      <c r="N16" s="300"/>
    </row>
    <row r="17" spans="2:14" x14ac:dyDescent="0.3">
      <c r="B17" s="27" t="s">
        <v>463</v>
      </c>
      <c r="C17" s="30" t="s">
        <v>52</v>
      </c>
      <c r="D17" s="336"/>
      <c r="E17" s="336"/>
      <c r="F17" s="336"/>
      <c r="G17" s="336"/>
      <c r="H17" s="336"/>
      <c r="I17" s="336"/>
      <c r="J17" s="336"/>
      <c r="K17" s="336"/>
      <c r="L17" s="336"/>
      <c r="N17" s="300"/>
    </row>
    <row r="18" spans="2:14" x14ac:dyDescent="0.3">
      <c r="B18" s="27" t="s">
        <v>464</v>
      </c>
      <c r="C18" s="29" t="s">
        <v>53</v>
      </c>
      <c r="D18" s="384">
        <f>SUM(D15:D17)</f>
        <v>0</v>
      </c>
      <c r="E18" s="384">
        <f t="shared" ref="E18:L18" si="5">SUM(E15:E17)</f>
        <v>0</v>
      </c>
      <c r="F18" s="384">
        <f t="shared" si="5"/>
        <v>0</v>
      </c>
      <c r="G18" s="384">
        <f t="shared" si="5"/>
        <v>0</v>
      </c>
      <c r="H18" s="384">
        <f t="shared" si="5"/>
        <v>0</v>
      </c>
      <c r="I18" s="384">
        <f t="shared" si="5"/>
        <v>0</v>
      </c>
      <c r="J18" s="384">
        <f t="shared" si="5"/>
        <v>0</v>
      </c>
      <c r="K18" s="384">
        <f t="shared" si="5"/>
        <v>0</v>
      </c>
      <c r="L18" s="384">
        <f t="shared" si="5"/>
        <v>0</v>
      </c>
      <c r="N18" s="300"/>
    </row>
    <row r="19" spans="2:14" x14ac:dyDescent="0.3">
      <c r="B19" s="27" t="s">
        <v>465</v>
      </c>
      <c r="C19" s="31" t="s">
        <v>54</v>
      </c>
      <c r="D19" s="384">
        <f>+D14-D18</f>
        <v>0</v>
      </c>
      <c r="E19" s="384">
        <f t="shared" ref="E19:L19" si="6">+E14-E18</f>
        <v>0</v>
      </c>
      <c r="F19" s="384">
        <f t="shared" si="6"/>
        <v>0</v>
      </c>
      <c r="G19" s="384">
        <f t="shared" si="6"/>
        <v>0</v>
      </c>
      <c r="H19" s="384">
        <f t="shared" si="6"/>
        <v>0</v>
      </c>
      <c r="I19" s="384">
        <f t="shared" si="6"/>
        <v>0</v>
      </c>
      <c r="J19" s="384">
        <f t="shared" si="6"/>
        <v>0</v>
      </c>
      <c r="K19" s="384">
        <f t="shared" si="6"/>
        <v>0</v>
      </c>
      <c r="L19" s="384">
        <f t="shared" si="6"/>
        <v>0</v>
      </c>
      <c r="N19" s="300"/>
    </row>
    <row r="20" spans="2:14" x14ac:dyDescent="0.3">
      <c r="B20" s="148" t="s">
        <v>466</v>
      </c>
      <c r="C20" s="150" t="s">
        <v>55</v>
      </c>
      <c r="D20" s="192"/>
      <c r="E20" s="192"/>
      <c r="F20" s="192"/>
      <c r="G20" s="192"/>
      <c r="H20" s="192"/>
      <c r="I20" s="192"/>
      <c r="J20" s="192"/>
      <c r="K20" s="192"/>
      <c r="L20" s="192"/>
      <c r="N20" s="300"/>
    </row>
    <row r="21" spans="2:14" x14ac:dyDescent="0.3">
      <c r="B21" s="27" t="s">
        <v>457</v>
      </c>
      <c r="C21" s="29" t="s">
        <v>47</v>
      </c>
      <c r="D21" s="336"/>
      <c r="E21" s="384">
        <f>D24</f>
        <v>0</v>
      </c>
      <c r="F21" s="384">
        <f t="shared" ref="F21:L21" si="7">E24</f>
        <v>0</v>
      </c>
      <c r="G21" s="384">
        <f t="shared" si="7"/>
        <v>0</v>
      </c>
      <c r="H21" s="384">
        <f t="shared" si="7"/>
        <v>0</v>
      </c>
      <c r="I21" s="384">
        <f t="shared" si="7"/>
        <v>0</v>
      </c>
      <c r="J21" s="384">
        <f t="shared" si="7"/>
        <v>0</v>
      </c>
      <c r="K21" s="384">
        <f t="shared" si="7"/>
        <v>0</v>
      </c>
      <c r="L21" s="384">
        <f t="shared" si="7"/>
        <v>0</v>
      </c>
      <c r="N21" s="300"/>
    </row>
    <row r="22" spans="2:14" x14ac:dyDescent="0.3">
      <c r="B22" s="27" t="s">
        <v>458</v>
      </c>
      <c r="C22" s="30" t="s">
        <v>45</v>
      </c>
      <c r="D22" s="336"/>
      <c r="E22" s="336"/>
      <c r="F22" s="336"/>
      <c r="G22" s="336"/>
      <c r="H22" s="336"/>
      <c r="I22" s="336"/>
      <c r="J22" s="336"/>
      <c r="K22" s="336"/>
      <c r="L22" s="336"/>
      <c r="N22" s="300"/>
    </row>
    <row r="23" spans="2:14" x14ac:dyDescent="0.3">
      <c r="B23" s="27" t="s">
        <v>459</v>
      </c>
      <c r="C23" s="30" t="s">
        <v>48</v>
      </c>
      <c r="D23" s="336"/>
      <c r="E23" s="336"/>
      <c r="F23" s="336"/>
      <c r="G23" s="336"/>
      <c r="H23" s="336"/>
      <c r="I23" s="336"/>
      <c r="J23" s="336"/>
      <c r="K23" s="336"/>
      <c r="L23" s="336"/>
      <c r="N23" s="300"/>
    </row>
    <row r="24" spans="2:14" x14ac:dyDescent="0.3">
      <c r="B24" s="27" t="s">
        <v>460</v>
      </c>
      <c r="C24" s="29" t="s">
        <v>49</v>
      </c>
      <c r="D24" s="384">
        <f>+D21+D22-D23</f>
        <v>0</v>
      </c>
      <c r="E24" s="384">
        <f t="shared" ref="E24:L24" si="8">+E21+E22-E23</f>
        <v>0</v>
      </c>
      <c r="F24" s="384">
        <f t="shared" si="8"/>
        <v>0</v>
      </c>
      <c r="G24" s="384">
        <f t="shared" si="8"/>
        <v>0</v>
      </c>
      <c r="H24" s="384">
        <f t="shared" si="8"/>
        <v>0</v>
      </c>
      <c r="I24" s="384">
        <f t="shared" si="8"/>
        <v>0</v>
      </c>
      <c r="J24" s="384">
        <f t="shared" si="8"/>
        <v>0</v>
      </c>
      <c r="K24" s="384">
        <f t="shared" si="8"/>
        <v>0</v>
      </c>
      <c r="L24" s="384">
        <f t="shared" si="8"/>
        <v>0</v>
      </c>
      <c r="N24" s="300"/>
    </row>
    <row r="25" spans="2:14" x14ac:dyDescent="0.3">
      <c r="B25" s="27" t="s">
        <v>461</v>
      </c>
      <c r="C25" s="29" t="s">
        <v>50</v>
      </c>
      <c r="D25" s="336"/>
      <c r="E25" s="384">
        <f>D28</f>
        <v>0</v>
      </c>
      <c r="F25" s="384">
        <f t="shared" ref="F25:L25" si="9">E28</f>
        <v>0</v>
      </c>
      <c r="G25" s="384">
        <f t="shared" si="9"/>
        <v>0</v>
      </c>
      <c r="H25" s="384">
        <f t="shared" si="9"/>
        <v>0</v>
      </c>
      <c r="I25" s="384">
        <f t="shared" si="9"/>
        <v>0</v>
      </c>
      <c r="J25" s="384">
        <f t="shared" si="9"/>
        <v>0</v>
      </c>
      <c r="K25" s="384">
        <f t="shared" si="9"/>
        <v>0</v>
      </c>
      <c r="L25" s="384">
        <f t="shared" si="9"/>
        <v>0</v>
      </c>
      <c r="N25" s="300"/>
    </row>
    <row r="26" spans="2:14" x14ac:dyDescent="0.3">
      <c r="B26" s="27" t="s">
        <v>462</v>
      </c>
      <c r="C26" s="30" t="s">
        <v>51</v>
      </c>
      <c r="D26" s="336"/>
      <c r="E26" s="336"/>
      <c r="F26" s="336"/>
      <c r="G26" s="336"/>
      <c r="H26" s="336"/>
      <c r="I26" s="336"/>
      <c r="J26" s="336"/>
      <c r="K26" s="336"/>
      <c r="L26" s="336"/>
      <c r="N26" s="300"/>
    </row>
    <row r="27" spans="2:14" x14ac:dyDescent="0.3">
      <c r="B27" s="27" t="s">
        <v>463</v>
      </c>
      <c r="C27" s="30" t="s">
        <v>52</v>
      </c>
      <c r="D27" s="336"/>
      <c r="E27" s="336"/>
      <c r="F27" s="336"/>
      <c r="G27" s="336"/>
      <c r="H27" s="336"/>
      <c r="I27" s="336"/>
      <c r="J27" s="336"/>
      <c r="K27" s="336"/>
      <c r="L27" s="336"/>
      <c r="N27" s="300"/>
    </row>
    <row r="28" spans="2:14" x14ac:dyDescent="0.3">
      <c r="B28" s="27" t="s">
        <v>464</v>
      </c>
      <c r="C28" s="29" t="s">
        <v>53</v>
      </c>
      <c r="D28" s="384">
        <f>SUM(D25:D27)</f>
        <v>0</v>
      </c>
      <c r="E28" s="384">
        <f t="shared" ref="E28:L28" si="10">SUM(E25:E27)</f>
        <v>0</v>
      </c>
      <c r="F28" s="384">
        <f t="shared" si="10"/>
        <v>0</v>
      </c>
      <c r="G28" s="384">
        <f t="shared" si="10"/>
        <v>0</v>
      </c>
      <c r="H28" s="384">
        <f t="shared" si="10"/>
        <v>0</v>
      </c>
      <c r="I28" s="384">
        <f t="shared" si="10"/>
        <v>0</v>
      </c>
      <c r="J28" s="384">
        <f t="shared" si="10"/>
        <v>0</v>
      </c>
      <c r="K28" s="384">
        <f t="shared" si="10"/>
        <v>0</v>
      </c>
      <c r="L28" s="384">
        <f t="shared" si="10"/>
        <v>0</v>
      </c>
      <c r="N28" s="300"/>
    </row>
    <row r="29" spans="2:14" x14ac:dyDescent="0.3">
      <c r="B29" s="27" t="s">
        <v>465</v>
      </c>
      <c r="C29" s="31" t="s">
        <v>54</v>
      </c>
      <c r="D29" s="384">
        <f>+D24-D28</f>
        <v>0</v>
      </c>
      <c r="E29" s="384">
        <f t="shared" ref="E29:L29" si="11">+E24-E28</f>
        <v>0</v>
      </c>
      <c r="F29" s="384">
        <f t="shared" si="11"/>
        <v>0</v>
      </c>
      <c r="G29" s="384">
        <f t="shared" si="11"/>
        <v>0</v>
      </c>
      <c r="H29" s="384">
        <f t="shared" si="11"/>
        <v>0</v>
      </c>
      <c r="I29" s="384">
        <f t="shared" si="11"/>
        <v>0</v>
      </c>
      <c r="J29" s="384">
        <f t="shared" si="11"/>
        <v>0</v>
      </c>
      <c r="K29" s="384">
        <f t="shared" si="11"/>
        <v>0</v>
      </c>
      <c r="L29" s="384">
        <f t="shared" si="11"/>
        <v>0</v>
      </c>
      <c r="N29" s="300"/>
    </row>
    <row r="30" spans="2:14" x14ac:dyDescent="0.3">
      <c r="B30" s="148" t="s">
        <v>467</v>
      </c>
      <c r="C30" s="150" t="s">
        <v>39</v>
      </c>
      <c r="D30" s="192"/>
      <c r="E30" s="192"/>
      <c r="F30" s="192"/>
      <c r="G30" s="192"/>
      <c r="H30" s="192"/>
      <c r="I30" s="192"/>
      <c r="J30" s="192"/>
      <c r="K30" s="192"/>
      <c r="L30" s="192"/>
      <c r="N30" s="300"/>
    </row>
    <row r="31" spans="2:14" x14ac:dyDescent="0.3">
      <c r="B31" s="27" t="s">
        <v>468</v>
      </c>
      <c r="C31" s="29" t="s">
        <v>47</v>
      </c>
      <c r="D31" s="336"/>
      <c r="E31" s="384">
        <f>D34</f>
        <v>0</v>
      </c>
      <c r="F31" s="384">
        <f t="shared" ref="F31:L31" si="12">E34</f>
        <v>0</v>
      </c>
      <c r="G31" s="384">
        <f t="shared" si="12"/>
        <v>0</v>
      </c>
      <c r="H31" s="384">
        <f t="shared" si="12"/>
        <v>0</v>
      </c>
      <c r="I31" s="384">
        <f t="shared" si="12"/>
        <v>0</v>
      </c>
      <c r="J31" s="384">
        <f t="shared" si="12"/>
        <v>0</v>
      </c>
      <c r="K31" s="384">
        <f t="shared" si="12"/>
        <v>0</v>
      </c>
      <c r="L31" s="384">
        <f t="shared" si="12"/>
        <v>0</v>
      </c>
      <c r="N31" s="300"/>
    </row>
    <row r="32" spans="2:14" x14ac:dyDescent="0.3">
      <c r="B32" s="27" t="s">
        <v>469</v>
      </c>
      <c r="C32" s="30" t="s">
        <v>45</v>
      </c>
      <c r="D32" s="336"/>
      <c r="E32" s="336"/>
      <c r="F32" s="336"/>
      <c r="G32" s="336"/>
      <c r="H32" s="336"/>
      <c r="I32" s="336"/>
      <c r="J32" s="336"/>
      <c r="K32" s="336"/>
      <c r="L32" s="336"/>
      <c r="N32" s="300"/>
    </row>
    <row r="33" spans="2:14" x14ac:dyDescent="0.3">
      <c r="B33" s="27" t="s">
        <v>470</v>
      </c>
      <c r="C33" s="30" t="s">
        <v>48</v>
      </c>
      <c r="D33" s="336"/>
      <c r="E33" s="336"/>
      <c r="F33" s="336"/>
      <c r="G33" s="336"/>
      <c r="H33" s="336"/>
      <c r="I33" s="336"/>
      <c r="J33" s="336"/>
      <c r="K33" s="336"/>
      <c r="L33" s="336"/>
      <c r="N33" s="300"/>
    </row>
    <row r="34" spans="2:14" x14ac:dyDescent="0.3">
      <c r="B34" s="27" t="s">
        <v>471</v>
      </c>
      <c r="C34" s="29" t="s">
        <v>49</v>
      </c>
      <c r="D34" s="384">
        <f t="shared" ref="D34:L34" si="13">+D31+D32-D33</f>
        <v>0</v>
      </c>
      <c r="E34" s="384">
        <f t="shared" si="13"/>
        <v>0</v>
      </c>
      <c r="F34" s="384">
        <f t="shared" si="13"/>
        <v>0</v>
      </c>
      <c r="G34" s="384">
        <f t="shared" si="13"/>
        <v>0</v>
      </c>
      <c r="H34" s="384">
        <f t="shared" si="13"/>
        <v>0</v>
      </c>
      <c r="I34" s="384">
        <f t="shared" si="13"/>
        <v>0</v>
      </c>
      <c r="J34" s="384">
        <f t="shared" si="13"/>
        <v>0</v>
      </c>
      <c r="K34" s="384">
        <f t="shared" si="13"/>
        <v>0</v>
      </c>
      <c r="L34" s="384">
        <f t="shared" si="13"/>
        <v>0</v>
      </c>
      <c r="N34" s="300"/>
    </row>
    <row r="35" spans="2:14" x14ac:dyDescent="0.3">
      <c r="B35" s="27" t="s">
        <v>472</v>
      </c>
      <c r="C35" s="29" t="s">
        <v>50</v>
      </c>
      <c r="D35" s="336"/>
      <c r="E35" s="384">
        <f>D38</f>
        <v>0</v>
      </c>
      <c r="F35" s="384">
        <f t="shared" ref="F35:L35" si="14">E38</f>
        <v>0</v>
      </c>
      <c r="G35" s="384">
        <f t="shared" si="14"/>
        <v>0</v>
      </c>
      <c r="H35" s="384">
        <f t="shared" si="14"/>
        <v>0</v>
      </c>
      <c r="I35" s="384">
        <f t="shared" si="14"/>
        <v>0</v>
      </c>
      <c r="J35" s="384">
        <f t="shared" si="14"/>
        <v>0</v>
      </c>
      <c r="K35" s="384">
        <f t="shared" si="14"/>
        <v>0</v>
      </c>
      <c r="L35" s="384">
        <f t="shared" si="14"/>
        <v>0</v>
      </c>
      <c r="N35" s="300"/>
    </row>
    <row r="36" spans="2:14" x14ac:dyDescent="0.3">
      <c r="B36" s="27" t="s">
        <v>473</v>
      </c>
      <c r="C36" s="30" t="s">
        <v>51</v>
      </c>
      <c r="D36" s="336"/>
      <c r="E36" s="336"/>
      <c r="F36" s="336"/>
      <c r="G36" s="336"/>
      <c r="H36" s="336"/>
      <c r="I36" s="336"/>
      <c r="J36" s="336"/>
      <c r="K36" s="336"/>
      <c r="L36" s="336"/>
      <c r="N36" s="300"/>
    </row>
    <row r="37" spans="2:14" x14ac:dyDescent="0.3">
      <c r="B37" s="27" t="s">
        <v>474</v>
      </c>
      <c r="C37" s="30" t="s">
        <v>52</v>
      </c>
      <c r="D37" s="336"/>
      <c r="E37" s="336"/>
      <c r="F37" s="336"/>
      <c r="G37" s="336"/>
      <c r="H37" s="336"/>
      <c r="I37" s="336"/>
      <c r="J37" s="336"/>
      <c r="K37" s="336"/>
      <c r="L37" s="336"/>
      <c r="N37" s="300"/>
    </row>
    <row r="38" spans="2:14" x14ac:dyDescent="0.3">
      <c r="B38" s="27" t="s">
        <v>475</v>
      </c>
      <c r="C38" s="29" t="s">
        <v>53</v>
      </c>
      <c r="D38" s="384">
        <f t="shared" ref="D38:L38" si="15">SUM(D35:D37)</f>
        <v>0</v>
      </c>
      <c r="E38" s="384">
        <f t="shared" si="15"/>
        <v>0</v>
      </c>
      <c r="F38" s="384">
        <f t="shared" si="15"/>
        <v>0</v>
      </c>
      <c r="G38" s="384">
        <f t="shared" si="15"/>
        <v>0</v>
      </c>
      <c r="H38" s="384">
        <f t="shared" si="15"/>
        <v>0</v>
      </c>
      <c r="I38" s="384">
        <f t="shared" si="15"/>
        <v>0</v>
      </c>
      <c r="J38" s="384">
        <f t="shared" si="15"/>
        <v>0</v>
      </c>
      <c r="K38" s="384">
        <f t="shared" si="15"/>
        <v>0</v>
      </c>
      <c r="L38" s="384">
        <f t="shared" si="15"/>
        <v>0</v>
      </c>
      <c r="N38" s="300"/>
    </row>
    <row r="39" spans="2:14" x14ac:dyDescent="0.3">
      <c r="B39" s="27" t="s">
        <v>476</v>
      </c>
      <c r="C39" s="31" t="s">
        <v>54</v>
      </c>
      <c r="D39" s="384">
        <f>+D34-D38</f>
        <v>0</v>
      </c>
      <c r="E39" s="384">
        <f t="shared" ref="E39:L39" si="16">+E34-E38</f>
        <v>0</v>
      </c>
      <c r="F39" s="384">
        <f t="shared" si="16"/>
        <v>0</v>
      </c>
      <c r="G39" s="384">
        <f t="shared" si="16"/>
        <v>0</v>
      </c>
      <c r="H39" s="384">
        <f t="shared" si="16"/>
        <v>0</v>
      </c>
      <c r="I39" s="384">
        <f t="shared" si="16"/>
        <v>0</v>
      </c>
      <c r="J39" s="384">
        <f t="shared" si="16"/>
        <v>0</v>
      </c>
      <c r="K39" s="384">
        <f t="shared" si="16"/>
        <v>0</v>
      </c>
      <c r="L39" s="384">
        <f t="shared" si="16"/>
        <v>0</v>
      </c>
      <c r="N39" s="300"/>
    </row>
    <row r="40" spans="2:14" x14ac:dyDescent="0.3">
      <c r="B40" s="148" t="s">
        <v>477</v>
      </c>
      <c r="C40" s="150" t="s">
        <v>56</v>
      </c>
      <c r="D40" s="192"/>
      <c r="E40" s="192"/>
      <c r="F40" s="192"/>
      <c r="G40" s="192"/>
      <c r="H40" s="192"/>
      <c r="I40" s="192"/>
      <c r="J40" s="192"/>
      <c r="K40" s="192"/>
      <c r="L40" s="192"/>
      <c r="N40" s="300"/>
    </row>
    <row r="41" spans="2:14" x14ac:dyDescent="0.3">
      <c r="B41" s="27" t="s">
        <v>478</v>
      </c>
      <c r="C41" s="29" t="s">
        <v>47</v>
      </c>
      <c r="D41" s="336"/>
      <c r="E41" s="384">
        <f>D44</f>
        <v>0</v>
      </c>
      <c r="F41" s="384">
        <f t="shared" ref="F41:L41" si="17">E44</f>
        <v>0</v>
      </c>
      <c r="G41" s="384">
        <f t="shared" si="17"/>
        <v>0</v>
      </c>
      <c r="H41" s="384">
        <f t="shared" si="17"/>
        <v>0</v>
      </c>
      <c r="I41" s="384">
        <f t="shared" si="17"/>
        <v>0</v>
      </c>
      <c r="J41" s="384">
        <f t="shared" si="17"/>
        <v>0</v>
      </c>
      <c r="K41" s="384">
        <f t="shared" si="17"/>
        <v>0</v>
      </c>
      <c r="L41" s="384">
        <f t="shared" si="17"/>
        <v>0</v>
      </c>
      <c r="N41" s="300"/>
    </row>
    <row r="42" spans="2:14" x14ac:dyDescent="0.3">
      <c r="B42" s="27" t="s">
        <v>479</v>
      </c>
      <c r="C42" s="30" t="s">
        <v>45</v>
      </c>
      <c r="D42" s="336"/>
      <c r="E42" s="336"/>
      <c r="F42" s="336"/>
      <c r="G42" s="336"/>
      <c r="H42" s="336"/>
      <c r="I42" s="336"/>
      <c r="J42" s="336"/>
      <c r="K42" s="336"/>
      <c r="L42" s="336"/>
      <c r="N42" s="300"/>
    </row>
    <row r="43" spans="2:14" x14ac:dyDescent="0.3">
      <c r="B43" s="27" t="s">
        <v>480</v>
      </c>
      <c r="C43" s="30" t="s">
        <v>48</v>
      </c>
      <c r="D43" s="336"/>
      <c r="E43" s="336"/>
      <c r="F43" s="336"/>
      <c r="G43" s="336"/>
      <c r="H43" s="336"/>
      <c r="I43" s="336"/>
      <c r="J43" s="336"/>
      <c r="K43" s="336"/>
      <c r="L43" s="336"/>
      <c r="N43" s="300"/>
    </row>
    <row r="44" spans="2:14" x14ac:dyDescent="0.3">
      <c r="B44" s="27" t="s">
        <v>481</v>
      </c>
      <c r="C44" s="29" t="s">
        <v>49</v>
      </c>
      <c r="D44" s="384">
        <f t="shared" ref="D44:L44" si="18">+D41+D42-D43</f>
        <v>0</v>
      </c>
      <c r="E44" s="384">
        <f t="shared" si="18"/>
        <v>0</v>
      </c>
      <c r="F44" s="384">
        <f t="shared" si="18"/>
        <v>0</v>
      </c>
      <c r="G44" s="384">
        <f t="shared" si="18"/>
        <v>0</v>
      </c>
      <c r="H44" s="384">
        <f t="shared" si="18"/>
        <v>0</v>
      </c>
      <c r="I44" s="384">
        <f t="shared" si="18"/>
        <v>0</v>
      </c>
      <c r="J44" s="384">
        <f t="shared" si="18"/>
        <v>0</v>
      </c>
      <c r="K44" s="384">
        <f t="shared" si="18"/>
        <v>0</v>
      </c>
      <c r="L44" s="384">
        <f t="shared" si="18"/>
        <v>0</v>
      </c>
      <c r="N44" s="300"/>
    </row>
    <row r="45" spans="2:14" x14ac:dyDescent="0.3">
      <c r="B45" s="27" t="s">
        <v>482</v>
      </c>
      <c r="C45" s="29" t="s">
        <v>50</v>
      </c>
      <c r="D45" s="336"/>
      <c r="E45" s="384">
        <f>D48</f>
        <v>0</v>
      </c>
      <c r="F45" s="384">
        <f t="shared" ref="F45:L45" si="19">E48</f>
        <v>0</v>
      </c>
      <c r="G45" s="384">
        <f t="shared" si="19"/>
        <v>0</v>
      </c>
      <c r="H45" s="384">
        <f t="shared" si="19"/>
        <v>0</v>
      </c>
      <c r="I45" s="384">
        <f t="shared" si="19"/>
        <v>0</v>
      </c>
      <c r="J45" s="384">
        <f t="shared" si="19"/>
        <v>0</v>
      </c>
      <c r="K45" s="384">
        <f t="shared" si="19"/>
        <v>0</v>
      </c>
      <c r="L45" s="384">
        <f t="shared" si="19"/>
        <v>0</v>
      </c>
      <c r="N45" s="300"/>
    </row>
    <row r="46" spans="2:14" x14ac:dyDescent="0.3">
      <c r="B46" s="27" t="s">
        <v>483</v>
      </c>
      <c r="C46" s="30" t="s">
        <v>51</v>
      </c>
      <c r="D46" s="336"/>
      <c r="E46" s="336"/>
      <c r="F46" s="336"/>
      <c r="G46" s="336"/>
      <c r="H46" s="336"/>
      <c r="I46" s="336"/>
      <c r="J46" s="336"/>
      <c r="K46" s="336"/>
      <c r="L46" s="336"/>
      <c r="N46" s="300"/>
    </row>
    <row r="47" spans="2:14" x14ac:dyDescent="0.3">
      <c r="B47" s="27" t="s">
        <v>484</v>
      </c>
      <c r="C47" s="30" t="s">
        <v>52</v>
      </c>
      <c r="D47" s="336"/>
      <c r="E47" s="336"/>
      <c r="F47" s="336"/>
      <c r="G47" s="336"/>
      <c r="H47" s="336"/>
      <c r="I47" s="336"/>
      <c r="J47" s="336"/>
      <c r="K47" s="336"/>
      <c r="L47" s="336"/>
      <c r="N47" s="300"/>
    </row>
    <row r="48" spans="2:14" x14ac:dyDescent="0.3">
      <c r="B48" s="27" t="s">
        <v>485</v>
      </c>
      <c r="C48" s="29" t="s">
        <v>53</v>
      </c>
      <c r="D48" s="384">
        <f t="shared" ref="D48:L48" si="20">SUM(D45:D47)</f>
        <v>0</v>
      </c>
      <c r="E48" s="384">
        <f t="shared" si="20"/>
        <v>0</v>
      </c>
      <c r="F48" s="384">
        <f t="shared" si="20"/>
        <v>0</v>
      </c>
      <c r="G48" s="384">
        <f t="shared" si="20"/>
        <v>0</v>
      </c>
      <c r="H48" s="384">
        <f t="shared" si="20"/>
        <v>0</v>
      </c>
      <c r="I48" s="384">
        <f t="shared" si="20"/>
        <v>0</v>
      </c>
      <c r="J48" s="384">
        <f t="shared" si="20"/>
        <v>0</v>
      </c>
      <c r="K48" s="384">
        <f t="shared" si="20"/>
        <v>0</v>
      </c>
      <c r="L48" s="384">
        <f t="shared" si="20"/>
        <v>0</v>
      </c>
      <c r="N48" s="300"/>
    </row>
    <row r="49" spans="2:14" x14ac:dyDescent="0.3">
      <c r="B49" s="27" t="s">
        <v>486</v>
      </c>
      <c r="C49" s="31" t="s">
        <v>54</v>
      </c>
      <c r="D49" s="384">
        <f>+D44-D48</f>
        <v>0</v>
      </c>
      <c r="E49" s="384">
        <f t="shared" ref="E49:L49" si="21">+E44-E48</f>
        <v>0</v>
      </c>
      <c r="F49" s="384">
        <f t="shared" si="21"/>
        <v>0</v>
      </c>
      <c r="G49" s="384">
        <f t="shared" si="21"/>
        <v>0</v>
      </c>
      <c r="H49" s="384">
        <f t="shared" si="21"/>
        <v>0</v>
      </c>
      <c r="I49" s="384">
        <f t="shared" si="21"/>
        <v>0</v>
      </c>
      <c r="J49" s="384">
        <f t="shared" si="21"/>
        <v>0</v>
      </c>
      <c r="K49" s="384">
        <f t="shared" si="21"/>
        <v>0</v>
      </c>
      <c r="L49" s="384">
        <f t="shared" si="21"/>
        <v>0</v>
      </c>
      <c r="N49" s="300"/>
    </row>
    <row r="50" spans="2:14" x14ac:dyDescent="0.3">
      <c r="B50" s="148" t="s">
        <v>487</v>
      </c>
      <c r="C50" s="150" t="s">
        <v>57</v>
      </c>
      <c r="D50" s="192"/>
      <c r="E50" s="192"/>
      <c r="F50" s="192"/>
      <c r="G50" s="192"/>
      <c r="H50" s="192"/>
      <c r="I50" s="192"/>
      <c r="J50" s="192"/>
      <c r="K50" s="192"/>
      <c r="L50" s="192"/>
      <c r="M50" s="16"/>
      <c r="N50" s="300"/>
    </row>
    <row r="51" spans="2:14" x14ac:dyDescent="0.3">
      <c r="B51" s="27" t="s">
        <v>488</v>
      </c>
      <c r="C51" s="29" t="s">
        <v>47</v>
      </c>
      <c r="D51" s="336"/>
      <c r="E51" s="384">
        <f>D54</f>
        <v>0</v>
      </c>
      <c r="F51" s="384">
        <f t="shared" ref="F51:L51" si="22">E54</f>
        <v>0</v>
      </c>
      <c r="G51" s="384">
        <f t="shared" si="22"/>
        <v>0</v>
      </c>
      <c r="H51" s="384">
        <f t="shared" si="22"/>
        <v>0</v>
      </c>
      <c r="I51" s="384">
        <f t="shared" si="22"/>
        <v>0</v>
      </c>
      <c r="J51" s="384">
        <f t="shared" si="22"/>
        <v>0</v>
      </c>
      <c r="K51" s="384">
        <f t="shared" si="22"/>
        <v>0</v>
      </c>
      <c r="L51" s="384">
        <f t="shared" si="22"/>
        <v>0</v>
      </c>
      <c r="N51" s="300"/>
    </row>
    <row r="52" spans="2:14" x14ac:dyDescent="0.3">
      <c r="B52" s="27" t="s">
        <v>489</v>
      </c>
      <c r="C52" s="30" t="s">
        <v>45</v>
      </c>
      <c r="D52" s="336"/>
      <c r="E52" s="336"/>
      <c r="F52" s="336"/>
      <c r="G52" s="336"/>
      <c r="H52" s="336"/>
      <c r="I52" s="336"/>
      <c r="J52" s="336"/>
      <c r="K52" s="336"/>
      <c r="L52" s="336"/>
      <c r="N52" s="300"/>
    </row>
    <row r="53" spans="2:14" x14ac:dyDescent="0.3">
      <c r="B53" s="27" t="s">
        <v>490</v>
      </c>
      <c r="C53" s="30" t="s">
        <v>48</v>
      </c>
      <c r="D53" s="336"/>
      <c r="E53" s="336"/>
      <c r="F53" s="336"/>
      <c r="G53" s="336"/>
      <c r="H53" s="336"/>
      <c r="I53" s="336"/>
      <c r="J53" s="336"/>
      <c r="K53" s="336"/>
      <c r="L53" s="336"/>
      <c r="N53" s="300"/>
    </row>
    <row r="54" spans="2:14" s="32" customFormat="1" x14ac:dyDescent="0.3">
      <c r="B54" s="27" t="s">
        <v>491</v>
      </c>
      <c r="C54" s="29" t="s">
        <v>49</v>
      </c>
      <c r="D54" s="384">
        <f>+D51+D52-D53</f>
        <v>0</v>
      </c>
      <c r="E54" s="384">
        <f t="shared" ref="E54:L54" si="23">+E51+E52-E53</f>
        <v>0</v>
      </c>
      <c r="F54" s="384">
        <f t="shared" si="23"/>
        <v>0</v>
      </c>
      <c r="G54" s="384">
        <f t="shared" si="23"/>
        <v>0</v>
      </c>
      <c r="H54" s="384">
        <f t="shared" si="23"/>
        <v>0</v>
      </c>
      <c r="I54" s="384">
        <f t="shared" si="23"/>
        <v>0</v>
      </c>
      <c r="J54" s="384">
        <f t="shared" si="23"/>
        <v>0</v>
      </c>
      <c r="K54" s="384">
        <f t="shared" si="23"/>
        <v>0</v>
      </c>
      <c r="L54" s="384">
        <f t="shared" si="23"/>
        <v>0</v>
      </c>
      <c r="M54" s="12"/>
      <c r="N54" s="300"/>
    </row>
    <row r="55" spans="2:14" x14ac:dyDescent="0.3">
      <c r="B55" s="27" t="s">
        <v>492</v>
      </c>
      <c r="C55" s="29" t="s">
        <v>50</v>
      </c>
      <c r="D55" s="336"/>
      <c r="E55" s="384">
        <f>D58</f>
        <v>0</v>
      </c>
      <c r="F55" s="384">
        <f t="shared" ref="F55:L55" si="24">E58</f>
        <v>0</v>
      </c>
      <c r="G55" s="384">
        <f t="shared" si="24"/>
        <v>0</v>
      </c>
      <c r="H55" s="384">
        <f t="shared" si="24"/>
        <v>0</v>
      </c>
      <c r="I55" s="384">
        <f t="shared" si="24"/>
        <v>0</v>
      </c>
      <c r="J55" s="384">
        <f t="shared" si="24"/>
        <v>0</v>
      </c>
      <c r="K55" s="384">
        <f t="shared" si="24"/>
        <v>0</v>
      </c>
      <c r="L55" s="384">
        <f t="shared" si="24"/>
        <v>0</v>
      </c>
      <c r="M55" s="16"/>
      <c r="N55" s="300"/>
    </row>
    <row r="56" spans="2:14" x14ac:dyDescent="0.3">
      <c r="B56" s="27" t="s">
        <v>493</v>
      </c>
      <c r="C56" s="30" t="s">
        <v>51</v>
      </c>
      <c r="D56" s="336"/>
      <c r="E56" s="336"/>
      <c r="F56" s="336"/>
      <c r="G56" s="336"/>
      <c r="H56" s="336"/>
      <c r="I56" s="336"/>
      <c r="J56" s="336"/>
      <c r="K56" s="336"/>
      <c r="L56" s="336"/>
      <c r="M56" s="16"/>
      <c r="N56" s="300"/>
    </row>
    <row r="57" spans="2:14" x14ac:dyDescent="0.3">
      <c r="B57" s="27" t="s">
        <v>494</v>
      </c>
      <c r="C57" s="30" t="s">
        <v>52</v>
      </c>
      <c r="D57" s="336"/>
      <c r="E57" s="336"/>
      <c r="F57" s="336"/>
      <c r="G57" s="336"/>
      <c r="H57" s="336"/>
      <c r="I57" s="336"/>
      <c r="J57" s="336"/>
      <c r="K57" s="336"/>
      <c r="L57" s="336"/>
      <c r="M57" s="16"/>
      <c r="N57" s="300"/>
    </row>
    <row r="58" spans="2:14" x14ac:dyDescent="0.3">
      <c r="B58" s="27" t="s">
        <v>495</v>
      </c>
      <c r="C58" s="29" t="s">
        <v>53</v>
      </c>
      <c r="D58" s="384">
        <f t="shared" ref="D58:L58" si="25">SUM(D55:D57)</f>
        <v>0</v>
      </c>
      <c r="E58" s="384">
        <f t="shared" si="25"/>
        <v>0</v>
      </c>
      <c r="F58" s="384">
        <f t="shared" si="25"/>
        <v>0</v>
      </c>
      <c r="G58" s="384">
        <f t="shared" si="25"/>
        <v>0</v>
      </c>
      <c r="H58" s="384">
        <f t="shared" si="25"/>
        <v>0</v>
      </c>
      <c r="I58" s="384">
        <f t="shared" si="25"/>
        <v>0</v>
      </c>
      <c r="J58" s="384">
        <f t="shared" si="25"/>
        <v>0</v>
      </c>
      <c r="K58" s="384">
        <f t="shared" si="25"/>
        <v>0</v>
      </c>
      <c r="L58" s="384">
        <f t="shared" si="25"/>
        <v>0</v>
      </c>
      <c r="M58" s="16"/>
      <c r="N58" s="300"/>
    </row>
    <row r="59" spans="2:14" ht="14.4" thickBot="1" x14ac:dyDescent="0.35">
      <c r="B59" s="27" t="s">
        <v>496</v>
      </c>
      <c r="C59" s="33" t="s">
        <v>54</v>
      </c>
      <c r="D59" s="384">
        <f>+D54-D58</f>
        <v>0</v>
      </c>
      <c r="E59" s="384">
        <f t="shared" ref="E59:L59" si="26">+E54-E58</f>
        <v>0</v>
      </c>
      <c r="F59" s="384">
        <f t="shared" si="26"/>
        <v>0</v>
      </c>
      <c r="G59" s="384">
        <f t="shared" si="26"/>
        <v>0</v>
      </c>
      <c r="H59" s="384">
        <f t="shared" si="26"/>
        <v>0</v>
      </c>
      <c r="I59" s="384">
        <f t="shared" si="26"/>
        <v>0</v>
      </c>
      <c r="J59" s="384">
        <f t="shared" si="26"/>
        <v>0</v>
      </c>
      <c r="K59" s="384">
        <f t="shared" si="26"/>
        <v>0</v>
      </c>
      <c r="L59" s="384">
        <f t="shared" si="26"/>
        <v>0</v>
      </c>
      <c r="M59" s="16"/>
      <c r="N59" s="300"/>
    </row>
    <row r="60" spans="2:14" ht="13.35" customHeight="1" thickTop="1" x14ac:dyDescent="0.3">
      <c r="B60" s="210" t="s">
        <v>497</v>
      </c>
      <c r="C60" s="151" t="s">
        <v>301</v>
      </c>
      <c r="D60" s="152"/>
      <c r="E60" s="152"/>
      <c r="F60" s="152"/>
      <c r="G60" s="152"/>
      <c r="H60" s="152"/>
      <c r="I60" s="152"/>
      <c r="J60" s="152"/>
      <c r="K60" s="152"/>
      <c r="L60" s="152"/>
      <c r="M60" s="16"/>
      <c r="N60" s="300"/>
    </row>
    <row r="61" spans="2:14" ht="13.35" customHeight="1" x14ac:dyDescent="0.3">
      <c r="B61" s="34" t="s">
        <v>498</v>
      </c>
      <c r="C61" s="193" t="s">
        <v>47</v>
      </c>
      <c r="D61" s="386">
        <f t="shared" ref="D61:L69" si="27">SUMIFS(D$5:D$59,$C$5:$C$59,$C61)</f>
        <v>0</v>
      </c>
      <c r="E61" s="386">
        <f t="shared" si="27"/>
        <v>0</v>
      </c>
      <c r="F61" s="386">
        <f t="shared" si="27"/>
        <v>0</v>
      </c>
      <c r="G61" s="386">
        <f t="shared" si="27"/>
        <v>0</v>
      </c>
      <c r="H61" s="386">
        <f t="shared" si="27"/>
        <v>0</v>
      </c>
      <c r="I61" s="386">
        <f t="shared" si="27"/>
        <v>0</v>
      </c>
      <c r="J61" s="386">
        <f t="shared" si="27"/>
        <v>0</v>
      </c>
      <c r="K61" s="386">
        <f t="shared" si="27"/>
        <v>0</v>
      </c>
      <c r="L61" s="386">
        <f t="shared" si="27"/>
        <v>0</v>
      </c>
      <c r="N61" s="300"/>
    </row>
    <row r="62" spans="2:14" ht="13.35" customHeight="1" x14ac:dyDescent="0.3">
      <c r="B62" s="34" t="s">
        <v>499</v>
      </c>
      <c r="C62" s="193" t="s">
        <v>45</v>
      </c>
      <c r="D62" s="386">
        <f>SUMIFS(D$5:D$59,$C$5:$C$59,$C62)</f>
        <v>0</v>
      </c>
      <c r="E62" s="386">
        <f t="shared" si="27"/>
        <v>0</v>
      </c>
      <c r="F62" s="386">
        <f t="shared" si="27"/>
        <v>0</v>
      </c>
      <c r="G62" s="386">
        <f t="shared" si="27"/>
        <v>0</v>
      </c>
      <c r="H62" s="386">
        <f t="shared" si="27"/>
        <v>0</v>
      </c>
      <c r="I62" s="386">
        <f t="shared" si="27"/>
        <v>0</v>
      </c>
      <c r="J62" s="386">
        <f t="shared" si="27"/>
        <v>0</v>
      </c>
      <c r="K62" s="386">
        <f t="shared" si="27"/>
        <v>0</v>
      </c>
      <c r="L62" s="386">
        <f t="shared" si="27"/>
        <v>0</v>
      </c>
      <c r="N62" s="300"/>
    </row>
    <row r="63" spans="2:14" ht="13.35" customHeight="1" x14ac:dyDescent="0.3">
      <c r="B63" s="34" t="s">
        <v>500</v>
      </c>
      <c r="C63" s="193" t="s">
        <v>48</v>
      </c>
      <c r="D63" s="386">
        <f t="shared" si="27"/>
        <v>0</v>
      </c>
      <c r="E63" s="386">
        <f t="shared" si="27"/>
        <v>0</v>
      </c>
      <c r="F63" s="386">
        <f t="shared" si="27"/>
        <v>0</v>
      </c>
      <c r="G63" s="386">
        <f t="shared" si="27"/>
        <v>0</v>
      </c>
      <c r="H63" s="386">
        <f t="shared" si="27"/>
        <v>0</v>
      </c>
      <c r="I63" s="386">
        <f t="shared" si="27"/>
        <v>0</v>
      </c>
      <c r="J63" s="386">
        <f t="shared" si="27"/>
        <v>0</v>
      </c>
      <c r="K63" s="386">
        <f t="shared" si="27"/>
        <v>0</v>
      </c>
      <c r="L63" s="386">
        <f t="shared" si="27"/>
        <v>0</v>
      </c>
      <c r="N63" s="300"/>
    </row>
    <row r="64" spans="2:14" ht="13.35" customHeight="1" x14ac:dyDescent="0.3">
      <c r="B64" s="34" t="s">
        <v>501</v>
      </c>
      <c r="C64" s="193" t="s">
        <v>49</v>
      </c>
      <c r="D64" s="386">
        <f t="shared" si="27"/>
        <v>0</v>
      </c>
      <c r="E64" s="386">
        <f t="shared" si="27"/>
        <v>0</v>
      </c>
      <c r="F64" s="386">
        <f t="shared" si="27"/>
        <v>0</v>
      </c>
      <c r="G64" s="386">
        <f t="shared" si="27"/>
        <v>0</v>
      </c>
      <c r="H64" s="386">
        <f t="shared" si="27"/>
        <v>0</v>
      </c>
      <c r="I64" s="386">
        <f t="shared" si="27"/>
        <v>0</v>
      </c>
      <c r="J64" s="386">
        <f t="shared" si="27"/>
        <v>0</v>
      </c>
      <c r="K64" s="386">
        <f t="shared" si="27"/>
        <v>0</v>
      </c>
      <c r="L64" s="386">
        <f t="shared" si="27"/>
        <v>0</v>
      </c>
      <c r="N64" s="300"/>
    </row>
    <row r="65" spans="2:14" ht="13.35" customHeight="1" x14ac:dyDescent="0.3">
      <c r="B65" s="34" t="s">
        <v>502</v>
      </c>
      <c r="C65" s="193" t="s">
        <v>50</v>
      </c>
      <c r="D65" s="386">
        <f t="shared" si="27"/>
        <v>0</v>
      </c>
      <c r="E65" s="386">
        <f t="shared" si="27"/>
        <v>0</v>
      </c>
      <c r="F65" s="386">
        <f t="shared" si="27"/>
        <v>0</v>
      </c>
      <c r="G65" s="386">
        <f t="shared" si="27"/>
        <v>0</v>
      </c>
      <c r="H65" s="386">
        <f t="shared" si="27"/>
        <v>0</v>
      </c>
      <c r="I65" s="386">
        <f t="shared" si="27"/>
        <v>0</v>
      </c>
      <c r="J65" s="386">
        <f t="shared" si="27"/>
        <v>0</v>
      </c>
      <c r="K65" s="386">
        <f t="shared" si="27"/>
        <v>0</v>
      </c>
      <c r="L65" s="386">
        <f t="shared" si="27"/>
        <v>0</v>
      </c>
      <c r="N65" s="300"/>
    </row>
    <row r="66" spans="2:14" ht="13.35" customHeight="1" x14ac:dyDescent="0.3">
      <c r="B66" s="34" t="s">
        <v>503</v>
      </c>
      <c r="C66" s="193" t="s">
        <v>51</v>
      </c>
      <c r="D66" s="386">
        <f t="shared" si="27"/>
        <v>0</v>
      </c>
      <c r="E66" s="386">
        <f t="shared" si="27"/>
        <v>0</v>
      </c>
      <c r="F66" s="386">
        <f t="shared" si="27"/>
        <v>0</v>
      </c>
      <c r="G66" s="386">
        <f t="shared" si="27"/>
        <v>0</v>
      </c>
      <c r="H66" s="386">
        <f t="shared" si="27"/>
        <v>0</v>
      </c>
      <c r="I66" s="386">
        <f t="shared" si="27"/>
        <v>0</v>
      </c>
      <c r="J66" s="386">
        <f t="shared" si="27"/>
        <v>0</v>
      </c>
      <c r="K66" s="386">
        <f t="shared" si="27"/>
        <v>0</v>
      </c>
      <c r="L66" s="386">
        <f t="shared" si="27"/>
        <v>0</v>
      </c>
      <c r="N66" s="300"/>
    </row>
    <row r="67" spans="2:14" ht="13.35" customHeight="1" x14ac:dyDescent="0.3">
      <c r="B67" s="34" t="s">
        <v>504</v>
      </c>
      <c r="C67" s="193" t="s">
        <v>52</v>
      </c>
      <c r="D67" s="386">
        <f t="shared" si="27"/>
        <v>0</v>
      </c>
      <c r="E67" s="386">
        <f t="shared" si="27"/>
        <v>0</v>
      </c>
      <c r="F67" s="386">
        <f t="shared" si="27"/>
        <v>0</v>
      </c>
      <c r="G67" s="386">
        <f t="shared" si="27"/>
        <v>0</v>
      </c>
      <c r="H67" s="386">
        <f t="shared" si="27"/>
        <v>0</v>
      </c>
      <c r="I67" s="386">
        <f t="shared" si="27"/>
        <v>0</v>
      </c>
      <c r="J67" s="386">
        <f t="shared" si="27"/>
        <v>0</v>
      </c>
      <c r="K67" s="386">
        <f t="shared" si="27"/>
        <v>0</v>
      </c>
      <c r="L67" s="386">
        <f t="shared" si="27"/>
        <v>0</v>
      </c>
      <c r="N67" s="300"/>
    </row>
    <row r="68" spans="2:14" ht="13.35" customHeight="1" x14ac:dyDescent="0.3">
      <c r="B68" s="34" t="s">
        <v>505</v>
      </c>
      <c r="C68" s="193" t="s">
        <v>53</v>
      </c>
      <c r="D68" s="386">
        <f t="shared" si="27"/>
        <v>0</v>
      </c>
      <c r="E68" s="386">
        <f t="shared" si="27"/>
        <v>0</v>
      </c>
      <c r="F68" s="386">
        <f t="shared" si="27"/>
        <v>0</v>
      </c>
      <c r="G68" s="386">
        <f t="shared" si="27"/>
        <v>0</v>
      </c>
      <c r="H68" s="386">
        <f t="shared" si="27"/>
        <v>0</v>
      </c>
      <c r="I68" s="386">
        <f t="shared" si="27"/>
        <v>0</v>
      </c>
      <c r="J68" s="386">
        <f t="shared" si="27"/>
        <v>0</v>
      </c>
      <c r="K68" s="386">
        <f t="shared" si="27"/>
        <v>0</v>
      </c>
      <c r="L68" s="386">
        <f t="shared" si="27"/>
        <v>0</v>
      </c>
      <c r="N68" s="300"/>
    </row>
    <row r="69" spans="2:14" ht="13.35" customHeight="1" thickBot="1" x14ac:dyDescent="0.35">
      <c r="B69" s="35" t="s">
        <v>506</v>
      </c>
      <c r="C69" s="194" t="s">
        <v>54</v>
      </c>
      <c r="D69" s="387">
        <f>SUMIFS(D$5:D$59,$C$5:$C$59,$C69)</f>
        <v>0</v>
      </c>
      <c r="E69" s="387">
        <f>SUMIFS(E$5:E$59,$C$5:$C$59,$C69)</f>
        <v>0</v>
      </c>
      <c r="F69" s="387">
        <f t="shared" si="27"/>
        <v>0</v>
      </c>
      <c r="G69" s="387">
        <f t="shared" si="27"/>
        <v>0</v>
      </c>
      <c r="H69" s="387">
        <f t="shared" si="27"/>
        <v>0</v>
      </c>
      <c r="I69" s="387">
        <f t="shared" si="27"/>
        <v>0</v>
      </c>
      <c r="J69" s="387">
        <f t="shared" si="27"/>
        <v>0</v>
      </c>
      <c r="K69" s="387">
        <f t="shared" si="27"/>
        <v>0</v>
      </c>
      <c r="L69" s="387">
        <f t="shared" si="27"/>
        <v>0</v>
      </c>
      <c r="N69" s="300"/>
    </row>
    <row r="70" spans="2:14" ht="14.4" thickTop="1" x14ac:dyDescent="0.3"/>
  </sheetData>
  <sheetProtection algorithmName="SHA-512" hashValue="io9ZLcoHMgrcSN1teZ3Twjiy2T/uVtA9CVBtYklBqvgqHQi6nf9HNxybgjpBhW+Dl9VHDipUhX0JJhsgscTHoA==" saltValue="xz3m0boIUqYsEN0PHT8ncQ==" spinCount="100000" sheet="1" objects="1" scenarios="1" formatRows="0" insertRows="0"/>
  <mergeCells count="4">
    <mergeCell ref="C1:L1"/>
    <mergeCell ref="B3:B4"/>
    <mergeCell ref="C3:C4"/>
    <mergeCell ref="E3:L3"/>
  </mergeCells>
  <phoneticPr fontId="12" type="noConversion"/>
  <conditionalFormatting sqref="D2:L2">
    <cfRule type="expression" dxfId="59" priority="13">
      <formula>D2&gt;0</formula>
    </cfRule>
    <cfRule type="expression" dxfId="58" priority="14">
      <formula>D2&lt;0</formula>
    </cfRule>
    <cfRule type="expression" dxfId="57" priority="15">
      <formula>D2=0</formula>
    </cfRule>
  </conditionalFormatting>
  <conditionalFormatting sqref="D4:L4">
    <cfRule type="expression" dxfId="56" priority="1">
      <formula>D4="-"</formula>
    </cfRule>
  </conditionalFormatting>
  <conditionalFormatting sqref="D9:L9 D19:L19 D29:L29 D39:L39 D49:L49 D59:L59">
    <cfRule type="cellIs" dxfId="55" priority="16" operator="lessThan">
      <formula>0</formula>
    </cfRule>
    <cfRule type="cellIs" dxfId="54" priority="17" operator="lessThan">
      <formula>0</formula>
    </cfRule>
  </conditionalFormatting>
  <conditionalFormatting sqref="N2">
    <cfRule type="expression" dxfId="53" priority="6">
      <formula>ISNUMBER(SEARCH("Klaida", N2))</formula>
    </cfRule>
  </conditionalFormatting>
  <conditionalFormatting sqref="N3">
    <cfRule type="expression" dxfId="52" priority="5">
      <formula>ISNUMBER(SEARCH("Dėmesio", N3))</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96" zoomScaleNormal="140" workbookViewId="0">
      <selection activeCell="E25" sqref="E25"/>
    </sheetView>
  </sheetViews>
  <sheetFormatPr defaultColWidth="8.6640625" defaultRowHeight="13.8" x14ac:dyDescent="0.3"/>
  <cols>
    <col min="1" max="1" width="6.6640625" style="11" customWidth="1"/>
    <col min="2" max="2" width="27.33203125" style="11" customWidth="1"/>
    <col min="3" max="3" width="10.6640625" style="11" customWidth="1"/>
    <col min="4" max="11" width="10" style="11" customWidth="1"/>
    <col min="12" max="12" width="10" style="10" customWidth="1"/>
    <col min="13" max="13" width="33.109375" style="11" customWidth="1"/>
    <col min="14" max="16384" width="8.6640625" style="11"/>
  </cols>
  <sheetData>
    <row r="1" spans="1:13" s="7" customFormat="1" ht="14.4" x14ac:dyDescent="0.3">
      <c r="A1" s="133" t="s">
        <v>33</v>
      </c>
      <c r="B1" s="505" t="s">
        <v>303</v>
      </c>
      <c r="C1" s="505"/>
      <c r="D1" s="505"/>
      <c r="E1" s="505"/>
      <c r="F1" s="505"/>
      <c r="G1" s="505"/>
      <c r="H1" s="505"/>
      <c r="I1" s="505"/>
      <c r="J1" s="505"/>
      <c r="K1" s="505"/>
      <c r="L1" s="6"/>
      <c r="M1" s="299" t="s">
        <v>224</v>
      </c>
    </row>
    <row r="2" spans="1:13" ht="5.0999999999999996" customHeight="1" x14ac:dyDescent="0.3">
      <c r="M2" s="300"/>
    </row>
    <row r="3" spans="1:13" ht="22.8" x14ac:dyDescent="0.3">
      <c r="A3" s="491" t="s">
        <v>21</v>
      </c>
      <c r="B3" s="491" t="s">
        <v>22</v>
      </c>
      <c r="C3" s="126" t="str">
        <f>IF(AND('1'!$C$22="Verslo pradžia",YEAR('1'!$E$22)=YEAR('1'!$C$11)),"Pradžios metai","Ataskaitiniai metai")</f>
        <v>Ataskaitiniai metai</v>
      </c>
      <c r="D3" s="476" t="s">
        <v>11</v>
      </c>
      <c r="E3" s="477"/>
      <c r="F3" s="477"/>
      <c r="G3" s="477"/>
      <c r="H3" s="477"/>
      <c r="I3" s="477"/>
      <c r="J3" s="477"/>
      <c r="K3" s="477"/>
      <c r="M3" s="300"/>
    </row>
    <row r="4" spans="1:13" ht="14.4" thickBot="1" x14ac:dyDescent="0.35">
      <c r="A4" s="492"/>
      <c r="B4" s="492"/>
      <c r="C4" s="364">
        <f>IF(C3="Pradžios metai",YEAR('1'!$E$22),IF((YEAR('1'!$C$11)-1)+COUNT(B4:$B4)&gt;YEAR('1'!$C$18)+Parametrai!$C$15,"-",(YEAR('1'!$C$11)-1)+COUNT(B4:$B4)))</f>
        <v>1899</v>
      </c>
      <c r="D4" s="364">
        <f>IF(D3="Pradžios metai",YEAR('1'!$E$22),IF((YEAR('1'!$C$11)-1)+COUNT($B4:C4)&gt;YEAR('1'!$C$18)+Parametrai!$C$15,"-",(YEAR('1'!$C$11)-1)+COUNT($B4:C4)))</f>
        <v>1900</v>
      </c>
      <c r="E4" s="364">
        <f>IF(E3="Pradžios metai",YEAR('1'!$E$22),IF((YEAR('1'!$C$11)-1)+COUNT($B4:D4)&gt;YEAR('1'!$C$18)+Parametrai!$C$15,"-",(YEAR('1'!$C$11)-1)+COUNT($B4:D4)))</f>
        <v>1901</v>
      </c>
      <c r="F4" s="364">
        <f>IF(F3="Pradžios metai",YEAR('1'!$E$22),IF((YEAR('1'!$C$11)-1)+COUNT($B4:E4)&gt;YEAR('1'!$C$18)+Parametrai!$C$15,"-",(YEAR('1'!$C$11)-1)+COUNT($B4:E4)))</f>
        <v>1902</v>
      </c>
      <c r="G4" s="364">
        <f>IF(G3="Pradžios metai",YEAR('1'!$E$22),IF((YEAR('1'!$C$11)-1)+COUNT($B4:F4)&gt;YEAR('1'!$C$18)+Parametrai!$C$15,"-",(YEAR('1'!$C$11)-1)+COUNT($B4:F4)))</f>
        <v>1903</v>
      </c>
      <c r="H4" s="364" t="str">
        <f>IF(H3="Pradžios metai",YEAR('1'!$E$22),IF((YEAR('1'!$C$11)-1)+COUNT($B4:G4)&gt;YEAR('1'!$C$18)+Parametrai!$C$15,"-",(YEAR('1'!$C$11)-1)+COUNT($B4:G4)))</f>
        <v>-</v>
      </c>
      <c r="I4" s="364" t="str">
        <f>IF(I3="Pradžios metai",YEAR('1'!$E$22),IF((YEAR('1'!$C$11)-1)+COUNT($B4:H4)&gt;YEAR('1'!$C$18)+Parametrai!$C$15,"-",(YEAR('1'!$C$11)-1)+COUNT($B4:H4)))</f>
        <v>-</v>
      </c>
      <c r="J4" s="364" t="str">
        <f>IF(J3="Pradžios metai",YEAR('1'!$E$22),IF((YEAR('1'!$C$11)-1)+COUNT($B4:I4)&gt;YEAR('1'!$C$18)+Parametrai!$C$15,"-",(YEAR('1'!$C$11)-1)+COUNT($B4:I4)))</f>
        <v>-</v>
      </c>
      <c r="K4" s="364" t="str">
        <f>IF(K3="Pradžios metai",YEAR('1'!$E$22),IF((YEAR('1'!$C$11)-1)+COUNT($B4:J4)&gt;YEAR('1'!$C$18)+Parametrai!$C$15,"-",(YEAR('1'!$C$11)-1)+COUNT($B4:J4)))</f>
        <v>-</v>
      </c>
      <c r="M4" s="300"/>
    </row>
    <row r="5" spans="1:13" s="20" customFormat="1" ht="12.6" thickTop="1" x14ac:dyDescent="0.3">
      <c r="A5" s="153" t="s">
        <v>302</v>
      </c>
      <c r="B5" s="154" t="s">
        <v>23</v>
      </c>
      <c r="C5" s="155"/>
      <c r="D5" s="155"/>
      <c r="E5" s="155"/>
      <c r="F5" s="155"/>
      <c r="G5" s="155"/>
      <c r="H5" s="155"/>
      <c r="I5" s="155"/>
      <c r="J5" s="155"/>
      <c r="K5" s="155"/>
      <c r="L5" s="19"/>
      <c r="M5" s="300"/>
    </row>
    <row r="6" spans="1:13" s="20" customFormat="1" ht="12" x14ac:dyDescent="0.3">
      <c r="A6" s="21" t="s">
        <v>507</v>
      </c>
      <c r="B6" s="22" t="s">
        <v>24</v>
      </c>
      <c r="C6" s="368">
        <f>+'2-3'!C14-C16-C24</f>
        <v>0</v>
      </c>
      <c r="D6" s="368">
        <f>+'2-3'!D14-D16-D24</f>
        <v>0</v>
      </c>
      <c r="E6" s="368">
        <f>+'2-3'!E14-E16-E24</f>
        <v>0</v>
      </c>
      <c r="F6" s="368">
        <f>+'2-3'!F14-F16-F24</f>
        <v>0</v>
      </c>
      <c r="G6" s="368">
        <f>+'2-3'!G14-G16-G24</f>
        <v>0</v>
      </c>
      <c r="H6" s="368">
        <f>+'2-3'!H14-H16-H24</f>
        <v>0</v>
      </c>
      <c r="I6" s="368">
        <f>+'2-3'!I14-I16-I24</f>
        <v>0</v>
      </c>
      <c r="J6" s="368">
        <f>+'2-3'!J14-J16-J24</f>
        <v>0</v>
      </c>
      <c r="K6" s="368">
        <f>+'2-3'!K14-K16-K24</f>
        <v>0</v>
      </c>
      <c r="L6" s="19"/>
      <c r="M6" s="267" t="s">
        <v>865</v>
      </c>
    </row>
    <row r="7" spans="1:13" s="20" customFormat="1" ht="12" x14ac:dyDescent="0.3">
      <c r="A7" s="21" t="s">
        <v>508</v>
      </c>
      <c r="B7" s="337"/>
      <c r="C7" s="338"/>
      <c r="D7" s="329"/>
      <c r="E7" s="329"/>
      <c r="F7" s="329"/>
      <c r="G7" s="329"/>
      <c r="H7" s="329"/>
      <c r="I7" s="329"/>
      <c r="J7" s="329"/>
      <c r="K7" s="329"/>
      <c r="L7" s="19"/>
      <c r="M7" s="300"/>
    </row>
    <row r="8" spans="1:13" s="20" customFormat="1" ht="12" x14ac:dyDescent="0.3">
      <c r="A8" s="21" t="s">
        <v>509</v>
      </c>
      <c r="B8" s="337"/>
      <c r="C8" s="338"/>
      <c r="D8" s="329"/>
      <c r="E8" s="329"/>
      <c r="F8" s="329"/>
      <c r="G8" s="329"/>
      <c r="H8" s="329"/>
      <c r="I8" s="329"/>
      <c r="J8" s="329"/>
      <c r="K8" s="329"/>
      <c r="L8" s="19"/>
      <c r="M8" s="300"/>
    </row>
    <row r="9" spans="1:13" s="20" customFormat="1" ht="12" x14ac:dyDescent="0.3">
      <c r="A9" s="21" t="s">
        <v>510</v>
      </c>
      <c r="B9" s="337"/>
      <c r="C9" s="338"/>
      <c r="D9" s="329"/>
      <c r="E9" s="329"/>
      <c r="F9" s="329"/>
      <c r="G9" s="329"/>
      <c r="H9" s="329"/>
      <c r="I9" s="329"/>
      <c r="J9" s="329"/>
      <c r="K9" s="329"/>
      <c r="L9" s="19"/>
      <c r="M9" s="300"/>
    </row>
    <row r="10" spans="1:13" s="20" customFormat="1" ht="12" x14ac:dyDescent="0.3">
      <c r="A10" s="21" t="s">
        <v>511</v>
      </c>
      <c r="B10" s="337"/>
      <c r="C10" s="338"/>
      <c r="D10" s="329"/>
      <c r="E10" s="329"/>
      <c r="F10" s="329"/>
      <c r="G10" s="329"/>
      <c r="H10" s="329"/>
      <c r="I10" s="329"/>
      <c r="J10" s="329"/>
      <c r="K10" s="329"/>
      <c r="L10" s="19"/>
      <c r="M10" s="300"/>
    </row>
    <row r="11" spans="1:13" s="20" customFormat="1" ht="12" x14ac:dyDescent="0.3">
      <c r="A11" s="21" t="s">
        <v>512</v>
      </c>
      <c r="B11" s="337"/>
      <c r="C11" s="338"/>
      <c r="D11" s="329"/>
      <c r="E11" s="329"/>
      <c r="F11" s="329"/>
      <c r="G11" s="329"/>
      <c r="H11" s="329"/>
      <c r="I11" s="329"/>
      <c r="J11" s="329"/>
      <c r="K11" s="329"/>
      <c r="L11" s="19"/>
      <c r="M11" s="300"/>
    </row>
    <row r="12" spans="1:13" s="20" customFormat="1" ht="24" x14ac:dyDescent="0.3">
      <c r="A12" s="21" t="s">
        <v>513</v>
      </c>
      <c r="B12" s="22" t="s">
        <v>25</v>
      </c>
      <c r="C12" s="368">
        <f>'6'!D66-C23</f>
        <v>0</v>
      </c>
      <c r="D12" s="368">
        <f>'6'!E66-D23</f>
        <v>0</v>
      </c>
      <c r="E12" s="368">
        <f>'6'!F66-E23</f>
        <v>0</v>
      </c>
      <c r="F12" s="368">
        <f>'6'!G66-F23</f>
        <v>0</v>
      </c>
      <c r="G12" s="368">
        <f>'6'!H66-G23</f>
        <v>0</v>
      </c>
      <c r="H12" s="368">
        <f>'6'!I66-H23</f>
        <v>0</v>
      </c>
      <c r="I12" s="368">
        <f>'6'!J66-I23</f>
        <v>0</v>
      </c>
      <c r="J12" s="368">
        <f>'6'!K66-J23</f>
        <v>0</v>
      </c>
      <c r="K12" s="368">
        <f>'6'!L66-K23</f>
        <v>0</v>
      </c>
      <c r="L12" s="19"/>
      <c r="M12" s="267" t="s">
        <v>866</v>
      </c>
    </row>
    <row r="13" spans="1:13" s="20" customFormat="1" ht="24" x14ac:dyDescent="0.3">
      <c r="A13" s="21" t="s">
        <v>514</v>
      </c>
      <c r="B13" s="22" t="s">
        <v>26</v>
      </c>
      <c r="C13" s="339"/>
      <c r="D13" s="339"/>
      <c r="E13" s="339"/>
      <c r="F13" s="339"/>
      <c r="G13" s="339"/>
      <c r="H13" s="339"/>
      <c r="I13" s="339"/>
      <c r="J13" s="339"/>
      <c r="K13" s="339"/>
      <c r="L13" s="19"/>
      <c r="M13" s="267"/>
    </row>
    <row r="14" spans="1:13" s="20" customFormat="1" ht="12.6" thickBot="1" x14ac:dyDescent="0.35">
      <c r="A14" s="104" t="s">
        <v>515</v>
      </c>
      <c r="B14" s="195" t="s">
        <v>27</v>
      </c>
      <c r="C14" s="388">
        <f>ROUND(SUM(C6:C13),0)</f>
        <v>0</v>
      </c>
      <c r="D14" s="388">
        <f>ROUND(SUM(D6:D13),0)</f>
        <v>0</v>
      </c>
      <c r="E14" s="388">
        <f t="shared" ref="E14:K14" si="0">ROUND(SUM(E6:E13),0)</f>
        <v>0</v>
      </c>
      <c r="F14" s="388">
        <f t="shared" si="0"/>
        <v>0</v>
      </c>
      <c r="G14" s="388">
        <f t="shared" si="0"/>
        <v>0</v>
      </c>
      <c r="H14" s="388">
        <f t="shared" si="0"/>
        <v>0</v>
      </c>
      <c r="I14" s="388">
        <f t="shared" si="0"/>
        <v>0</v>
      </c>
      <c r="J14" s="388">
        <f t="shared" si="0"/>
        <v>0</v>
      </c>
      <c r="K14" s="388">
        <f t="shared" si="0"/>
        <v>0</v>
      </c>
      <c r="L14" s="19"/>
      <c r="M14" s="300"/>
    </row>
    <row r="15" spans="1:13" s="20" customFormat="1" ht="12.6" thickTop="1" x14ac:dyDescent="0.3">
      <c r="A15" s="153" t="s">
        <v>516</v>
      </c>
      <c r="B15" s="156" t="s">
        <v>28</v>
      </c>
      <c r="C15" s="157"/>
      <c r="D15" s="157"/>
      <c r="E15" s="157"/>
      <c r="F15" s="157"/>
      <c r="G15" s="157"/>
      <c r="H15" s="157"/>
      <c r="I15" s="157"/>
      <c r="J15" s="157"/>
      <c r="K15" s="157"/>
      <c r="L15" s="19"/>
      <c r="M15" s="300"/>
    </row>
    <row r="16" spans="1:13" s="20" customFormat="1" ht="12" x14ac:dyDescent="0.3">
      <c r="A16" s="21" t="s">
        <v>517</v>
      </c>
      <c r="B16" s="22" t="s">
        <v>24</v>
      </c>
      <c r="C16" s="329"/>
      <c r="D16" s="329"/>
      <c r="E16" s="329"/>
      <c r="F16" s="329"/>
      <c r="G16" s="329"/>
      <c r="H16" s="329"/>
      <c r="I16" s="329"/>
      <c r="J16" s="329"/>
      <c r="K16" s="329"/>
      <c r="L16" s="19"/>
      <c r="M16" s="267" t="s">
        <v>333</v>
      </c>
    </row>
    <row r="17" spans="1:26" s="20" customFormat="1" ht="12" x14ac:dyDescent="0.3">
      <c r="A17" s="21" t="s">
        <v>518</v>
      </c>
      <c r="B17" s="337"/>
      <c r="C17" s="329"/>
      <c r="D17" s="329"/>
      <c r="E17" s="329"/>
      <c r="F17" s="329"/>
      <c r="G17" s="329"/>
      <c r="H17" s="329"/>
      <c r="I17" s="329"/>
      <c r="J17" s="329"/>
      <c r="K17" s="329"/>
      <c r="L17" s="19"/>
      <c r="M17" s="300"/>
    </row>
    <row r="18" spans="1:26" s="20" customFormat="1" ht="12" x14ac:dyDescent="0.3">
      <c r="A18" s="21" t="s">
        <v>519</v>
      </c>
      <c r="B18" s="337"/>
      <c r="C18" s="329"/>
      <c r="D18" s="329"/>
      <c r="E18" s="329"/>
      <c r="F18" s="329"/>
      <c r="G18" s="329"/>
      <c r="H18" s="329"/>
      <c r="I18" s="329"/>
      <c r="J18" s="329"/>
      <c r="K18" s="329"/>
      <c r="L18" s="19"/>
      <c r="M18" s="300"/>
    </row>
    <row r="19" spans="1:26" s="20" customFormat="1" ht="12" x14ac:dyDescent="0.3">
      <c r="A19" s="21" t="s">
        <v>520</v>
      </c>
      <c r="B19" s="337"/>
      <c r="C19" s="329"/>
      <c r="D19" s="329"/>
      <c r="E19" s="329"/>
      <c r="F19" s="329"/>
      <c r="G19" s="329"/>
      <c r="H19" s="329"/>
      <c r="I19" s="329"/>
      <c r="J19" s="329"/>
      <c r="K19" s="329"/>
      <c r="L19" s="19"/>
      <c r="M19" s="300"/>
    </row>
    <row r="20" spans="1:26" s="20" customFormat="1" ht="12" x14ac:dyDescent="0.3">
      <c r="A20" s="21" t="s">
        <v>521</v>
      </c>
      <c r="B20" s="337"/>
      <c r="C20" s="340"/>
      <c r="D20" s="340"/>
      <c r="E20" s="340"/>
      <c r="F20" s="340"/>
      <c r="G20" s="340"/>
      <c r="H20" s="340"/>
      <c r="I20" s="340"/>
      <c r="J20" s="340"/>
      <c r="K20" s="340"/>
      <c r="L20" s="19"/>
      <c r="M20" s="300"/>
    </row>
    <row r="21" spans="1:26" s="20" customFormat="1" ht="12.6" thickBot="1" x14ac:dyDescent="0.35">
      <c r="A21" s="104" t="s">
        <v>522</v>
      </c>
      <c r="B21" s="195" t="s">
        <v>29</v>
      </c>
      <c r="C21" s="388">
        <f>ROUND(SUM(C16:C20),0)</f>
        <v>0</v>
      </c>
      <c r="D21" s="388">
        <f t="shared" ref="D21:K21" si="1">ROUND(SUM(D16:D20),0)</f>
        <v>0</v>
      </c>
      <c r="E21" s="388">
        <f t="shared" si="1"/>
        <v>0</v>
      </c>
      <c r="F21" s="388">
        <f t="shared" si="1"/>
        <v>0</v>
      </c>
      <c r="G21" s="388">
        <f t="shared" si="1"/>
        <v>0</v>
      </c>
      <c r="H21" s="388">
        <f t="shared" si="1"/>
        <v>0</v>
      </c>
      <c r="I21" s="388">
        <f t="shared" si="1"/>
        <v>0</v>
      </c>
      <c r="J21" s="388">
        <f t="shared" si="1"/>
        <v>0</v>
      </c>
      <c r="K21" s="388">
        <f t="shared" si="1"/>
        <v>0</v>
      </c>
      <c r="L21" s="19"/>
      <c r="M21" s="300"/>
    </row>
    <row r="22" spans="1:26" s="20" customFormat="1" ht="24" customHeight="1" thickTop="1" x14ac:dyDescent="0.3">
      <c r="A22" s="153" t="s">
        <v>523</v>
      </c>
      <c r="B22" s="156" t="s">
        <v>30</v>
      </c>
      <c r="C22" s="157"/>
      <c r="D22" s="157"/>
      <c r="E22" s="157"/>
      <c r="F22" s="157"/>
      <c r="G22" s="157"/>
      <c r="H22" s="157"/>
      <c r="I22" s="157"/>
      <c r="J22" s="157"/>
      <c r="K22" s="157"/>
      <c r="L22" s="19"/>
      <c r="M22" s="300"/>
    </row>
    <row r="23" spans="1:26" s="20" customFormat="1" ht="24" x14ac:dyDescent="0.3">
      <c r="A23" s="21" t="s">
        <v>524</v>
      </c>
      <c r="B23" s="22" t="s">
        <v>31</v>
      </c>
      <c r="C23" s="329"/>
      <c r="D23" s="329"/>
      <c r="E23" s="329"/>
      <c r="F23" s="329"/>
      <c r="G23" s="329"/>
      <c r="H23" s="329"/>
      <c r="I23" s="329"/>
      <c r="J23" s="329"/>
      <c r="K23" s="329"/>
      <c r="L23" s="19"/>
      <c r="M23" s="300"/>
    </row>
    <row r="24" spans="1:26" s="20" customFormat="1" ht="12" x14ac:dyDescent="0.3">
      <c r="A24" s="21" t="s">
        <v>525</v>
      </c>
      <c r="B24" s="22" t="s">
        <v>24</v>
      </c>
      <c r="C24" s="329"/>
      <c r="D24" s="329"/>
      <c r="E24" s="329"/>
      <c r="F24" s="329"/>
      <c r="G24" s="329"/>
      <c r="H24" s="329"/>
      <c r="I24" s="329"/>
      <c r="J24" s="329"/>
      <c r="K24" s="329"/>
      <c r="L24" s="19"/>
      <c r="M24" s="267" t="s">
        <v>334</v>
      </c>
    </row>
    <row r="25" spans="1:26" s="20" customFormat="1" ht="12" x14ac:dyDescent="0.3">
      <c r="A25" s="21" t="s">
        <v>526</v>
      </c>
      <c r="B25" s="337"/>
      <c r="C25" s="329"/>
      <c r="D25" s="329"/>
      <c r="E25" s="329"/>
      <c r="F25" s="329"/>
      <c r="G25" s="329"/>
      <c r="H25" s="329"/>
      <c r="I25" s="329"/>
      <c r="J25" s="329"/>
      <c r="K25" s="329"/>
      <c r="L25" s="19"/>
      <c r="M25" s="300"/>
      <c r="Z25" s="23"/>
    </row>
    <row r="26" spans="1:26" s="20" customFormat="1" ht="12" x14ac:dyDescent="0.3">
      <c r="A26" s="21" t="s">
        <v>527</v>
      </c>
      <c r="B26" s="337"/>
      <c r="C26" s="329"/>
      <c r="D26" s="329"/>
      <c r="E26" s="329"/>
      <c r="F26" s="329"/>
      <c r="G26" s="329"/>
      <c r="H26" s="329"/>
      <c r="I26" s="329"/>
      <c r="J26" s="329"/>
      <c r="K26" s="329"/>
      <c r="L26" s="19"/>
      <c r="M26" s="300"/>
    </row>
    <row r="27" spans="1:26" s="20" customFormat="1" ht="12" x14ac:dyDescent="0.3">
      <c r="A27" s="21" t="s">
        <v>528</v>
      </c>
      <c r="B27" s="337"/>
      <c r="C27" s="329"/>
      <c r="D27" s="329"/>
      <c r="E27" s="329"/>
      <c r="F27" s="329"/>
      <c r="G27" s="329"/>
      <c r="H27" s="329"/>
      <c r="I27" s="329"/>
      <c r="J27" s="329"/>
      <c r="K27" s="329"/>
      <c r="L27" s="19"/>
      <c r="M27" s="300"/>
    </row>
    <row r="28" spans="1:26" s="20" customFormat="1" ht="12" x14ac:dyDescent="0.3">
      <c r="A28" s="21" t="s">
        <v>529</v>
      </c>
      <c r="B28" s="337"/>
      <c r="C28" s="329"/>
      <c r="D28" s="329"/>
      <c r="E28" s="329"/>
      <c r="F28" s="329"/>
      <c r="G28" s="329"/>
      <c r="H28" s="329"/>
      <c r="I28" s="329"/>
      <c r="J28" s="329"/>
      <c r="K28" s="329"/>
      <c r="L28" s="19"/>
      <c r="M28" s="300"/>
    </row>
    <row r="29" spans="1:26" s="20" customFormat="1" ht="24.6" customHeight="1" thickBot="1" x14ac:dyDescent="0.35">
      <c r="A29" s="104" t="s">
        <v>530</v>
      </c>
      <c r="B29" s="195" t="s">
        <v>32</v>
      </c>
      <c r="C29" s="388">
        <f>ROUND(SUM(C23:C28),0)</f>
        <v>0</v>
      </c>
      <c r="D29" s="388">
        <f t="shared" ref="D29:K29" si="2">ROUND(SUM(D23:D28),0)</f>
        <v>0</v>
      </c>
      <c r="E29" s="388">
        <f t="shared" si="2"/>
        <v>0</v>
      </c>
      <c r="F29" s="388">
        <f t="shared" si="2"/>
        <v>0</v>
      </c>
      <c r="G29" s="388">
        <f t="shared" si="2"/>
        <v>0</v>
      </c>
      <c r="H29" s="388">
        <f t="shared" si="2"/>
        <v>0</v>
      </c>
      <c r="I29" s="388">
        <f t="shared" si="2"/>
        <v>0</v>
      </c>
      <c r="J29" s="388">
        <f t="shared" si="2"/>
        <v>0</v>
      </c>
      <c r="K29" s="388">
        <f t="shared" si="2"/>
        <v>0</v>
      </c>
      <c r="L29" s="19"/>
      <c r="M29" s="300"/>
    </row>
    <row r="30" spans="1:26" ht="23.4" thickTop="1" x14ac:dyDescent="0.3">
      <c r="A30" s="153" t="s">
        <v>821</v>
      </c>
      <c r="B30" s="156" t="s">
        <v>826</v>
      </c>
      <c r="C30" s="157"/>
      <c r="D30" s="157"/>
      <c r="E30" s="157"/>
      <c r="F30" s="157"/>
      <c r="G30" s="157"/>
      <c r="H30" s="157"/>
      <c r="I30" s="157"/>
      <c r="J30" s="157"/>
      <c r="K30" s="157"/>
      <c r="M30" s="300"/>
    </row>
    <row r="31" spans="1:26" x14ac:dyDescent="0.3">
      <c r="A31" s="21" t="s">
        <v>822</v>
      </c>
      <c r="B31" s="13" t="s">
        <v>439</v>
      </c>
      <c r="C31" s="368">
        <f>'8'!D25+'8'!D35</f>
        <v>0</v>
      </c>
      <c r="D31" s="368">
        <f>'8'!E25+'8'!E35</f>
        <v>0</v>
      </c>
      <c r="E31" s="368">
        <f>'8'!J25+'8'!J35</f>
        <v>0</v>
      </c>
      <c r="F31" s="368">
        <f>'8'!K25+'8'!K35</f>
        <v>0</v>
      </c>
      <c r="G31" s="368">
        <f>'8'!L25+'8'!L35</f>
        <v>0</v>
      </c>
      <c r="H31" s="368">
        <f>'8'!M25+'8'!M35</f>
        <v>0</v>
      </c>
      <c r="I31" s="368">
        <f>'8'!N25+'8'!N35</f>
        <v>0</v>
      </c>
      <c r="J31" s="368">
        <f>'8'!O25+'8'!O35</f>
        <v>0</v>
      </c>
      <c r="K31" s="368">
        <f>'8'!P25+'8'!P35</f>
        <v>0</v>
      </c>
      <c r="M31" s="300"/>
    </row>
    <row r="32" spans="1:26" x14ac:dyDescent="0.3">
      <c r="A32" s="271" t="str">
        <f>IF(Parametrai!$C$9="Asociacijos ir viešosios įstaigos","7.5.","")</f>
        <v>7.5.</v>
      </c>
      <c r="B32" s="271" t="str">
        <f>IF(Parametrai!$C$9="Asociacijos ir viešosios įstaigos","Veiklos sąnaudos iš viso","")</f>
        <v>Veiklos sąnaudos iš viso</v>
      </c>
      <c r="C32" s="389">
        <f>IF(Parametrai!$C$9="Asociacijos ir viešosios įstaigos",SUM(C21,C29,C31),"")</f>
        <v>0</v>
      </c>
      <c r="D32" s="389">
        <f>IF(Parametrai!$C$9="Asociacijos ir viešosios įstaigos",SUM(D21,D29,D31),"")</f>
        <v>0</v>
      </c>
      <c r="E32" s="389">
        <f>IF(Parametrai!$C$9="Asociacijos ir viešosios įstaigos",SUM(E21,E29,E31),"")</f>
        <v>0</v>
      </c>
      <c r="F32" s="389">
        <f>IF(Parametrai!$C$9="Asociacijos ir viešosios įstaigos",SUM(F21,F29,F31),"")</f>
        <v>0</v>
      </c>
      <c r="G32" s="389">
        <f>IF(Parametrai!$C$9="Asociacijos ir viešosios įstaigos",SUM(G21,G29,G31),"")</f>
        <v>0</v>
      </c>
      <c r="H32" s="389">
        <f>IF(Parametrai!$C$9="Asociacijos ir viešosios įstaigos",SUM(H21,H29,H31),"")</f>
        <v>0</v>
      </c>
      <c r="I32" s="389">
        <f>IF(Parametrai!$C$9="Asociacijos ir viešosios įstaigos",SUM(I21,I29,I31),"")</f>
        <v>0</v>
      </c>
      <c r="J32" s="389">
        <f>IF(Parametrai!$C$9="Asociacijos ir viešosios įstaigos",SUM(J21,J29,J31),"")</f>
        <v>0</v>
      </c>
      <c r="K32" s="389">
        <f>IF(Parametrai!$C$9="Asociacijos ir viešosios įstaigos",SUM(K21,K29,K31),"")</f>
        <v>0</v>
      </c>
      <c r="M32" s="300"/>
    </row>
    <row r="33" spans="1:11" x14ac:dyDescent="0.3">
      <c r="A33" s="20"/>
      <c r="B33" s="20"/>
      <c r="C33" s="20"/>
      <c r="D33" s="20"/>
      <c r="E33" s="20"/>
      <c r="F33" s="20"/>
      <c r="G33" s="20"/>
      <c r="H33" s="20"/>
      <c r="I33" s="20"/>
      <c r="J33" s="20"/>
      <c r="K33" s="20"/>
    </row>
    <row r="34" spans="1:11" x14ac:dyDescent="0.3">
      <c r="C34" s="264"/>
    </row>
    <row r="35" spans="1:11" x14ac:dyDescent="0.3">
      <c r="C35" s="264"/>
    </row>
  </sheetData>
  <sheetProtection algorithmName="SHA-512" hashValue="2ji07QpIfmIEkOTU1iyJ399W0ZTUaCQJJ2uxHTEKf9LR1UTjakICNAuaJb9psy66pdnibwIJwlesJKGrLXt0Xw==" saltValue="coLMlTdQx27YQeFfeSxgeQ==" spinCount="100000" sheet="1" objects="1" scenarios="1" formatRows="0" insertRows="0"/>
  <mergeCells count="4">
    <mergeCell ref="B1:K1"/>
    <mergeCell ref="A3:A4"/>
    <mergeCell ref="B3:B4"/>
    <mergeCell ref="D3:K3"/>
  </mergeCells>
  <phoneticPr fontId="12" type="noConversion"/>
  <conditionalFormatting sqref="A32:K32">
    <cfRule type="expression" dxfId="50" priority="2">
      <formula>$A$32&lt;&gt;""</formula>
    </cfRule>
  </conditionalFormatting>
  <conditionalFormatting sqref="C4:K4">
    <cfRule type="expression" dxfId="49" priority="4">
      <formula>C4="-"</formula>
    </cfRule>
  </conditionalFormatting>
  <conditionalFormatting sqref="C6:K6 C12:K12 C31:K32">
    <cfRule type="cellIs" dxfId="48" priority="9" operator="lessThan">
      <formula>0</formula>
    </cfRule>
  </conditionalFormatting>
  <conditionalFormatting sqref="C13:K13">
    <cfRule type="expression" dxfId="47" priority="8">
      <formula>ABS(C$13)&gt;C$12</formula>
    </cfRule>
  </conditionalFormatting>
  <dataValidations count="3">
    <dataValidation type="whole" operator="lessThan" allowBlank="1" showInputMessage="1" showErrorMessage="1" error="Įveskite neigiamą skaičių" prompt="Įveskite neigiamą skaičių" sqref="C13" xr:uid="{7BD18C5C-AF3A-4139-9954-5BC4ABA495C0}">
      <formula1>0</formula1>
    </dataValidation>
    <dataValidation type="whole" operator="lessThan" allowBlank="1" showInputMessage="1" showErrorMessage="1" error="įveskskite neigiamą skaičių" prompt="Įveskite neigiamą skaičių" sqref="D13:K13" xr:uid="{00000000-0002-0000-0600-00000100000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1" zoomScale="130" zoomScaleNormal="130" workbookViewId="0">
      <selection activeCell="E6" sqref="E6:K6"/>
    </sheetView>
  </sheetViews>
  <sheetFormatPr defaultColWidth="8.6640625" defaultRowHeight="13.8" x14ac:dyDescent="0.3"/>
  <cols>
    <col min="1" max="1" width="2.6640625" style="11" hidden="1" customWidth="1"/>
    <col min="2" max="2" width="6.44140625" style="11" customWidth="1"/>
    <col min="3" max="3" width="30.5546875" style="11" customWidth="1"/>
    <col min="4" max="14" width="10" style="11" customWidth="1"/>
    <col min="15" max="15" width="10.44140625" style="11" customWidth="1"/>
    <col min="16" max="16" width="10" style="11" customWidth="1"/>
    <col min="17" max="17" width="8.6640625" style="11"/>
    <col min="18" max="18" width="45.88671875" style="11" customWidth="1"/>
    <col min="19" max="16384" width="8.6640625" style="11"/>
  </cols>
  <sheetData>
    <row r="1" spans="1:18" s="7" customFormat="1" ht="14.25" customHeight="1" x14ac:dyDescent="0.3">
      <c r="B1" s="133" t="s">
        <v>35</v>
      </c>
      <c r="C1" s="508" t="s">
        <v>310</v>
      </c>
      <c r="D1" s="508"/>
      <c r="E1" s="508"/>
      <c r="F1" s="508"/>
      <c r="G1" s="508"/>
      <c r="H1" s="508"/>
      <c r="I1" s="508"/>
      <c r="J1" s="508"/>
      <c r="K1" s="508"/>
      <c r="L1" s="508"/>
      <c r="M1" s="508"/>
      <c r="N1" s="508"/>
      <c r="O1" s="508"/>
      <c r="P1" s="508"/>
      <c r="R1" s="305" t="s">
        <v>224</v>
      </c>
    </row>
    <row r="2" spans="1:18" s="3" customFormat="1" ht="12" customHeight="1" x14ac:dyDescent="0.3">
      <c r="R2" s="300"/>
    </row>
    <row r="3" spans="1:18" s="3" customFormat="1" x14ac:dyDescent="0.3">
      <c r="B3" s="221" t="s">
        <v>797</v>
      </c>
      <c r="C3" s="222" t="s">
        <v>309</v>
      </c>
      <c r="D3" s="222"/>
      <c r="E3" s="222"/>
      <c r="F3" s="222"/>
      <c r="G3" s="222"/>
      <c r="H3" s="222"/>
      <c r="I3" s="222"/>
      <c r="J3" s="223"/>
      <c r="K3" s="223"/>
      <c r="L3" s="223"/>
      <c r="M3" s="223"/>
      <c r="N3" s="223"/>
      <c r="O3" s="223"/>
      <c r="P3" s="224"/>
      <c r="R3" s="267" t="s">
        <v>871</v>
      </c>
    </row>
    <row r="4" spans="1:18" s="3" customFormat="1" x14ac:dyDescent="0.3">
      <c r="A4" s="225"/>
      <c r="B4" s="509" t="s">
        <v>34</v>
      </c>
      <c r="C4" s="511" t="s">
        <v>74</v>
      </c>
      <c r="D4" s="511"/>
      <c r="E4" s="515" t="s">
        <v>315</v>
      </c>
      <c r="F4" s="516"/>
      <c r="G4" s="516"/>
      <c r="H4" s="516"/>
      <c r="I4" s="516"/>
      <c r="J4" s="516"/>
      <c r="K4" s="517"/>
      <c r="L4" s="511" t="s">
        <v>316</v>
      </c>
      <c r="M4" s="513" t="s">
        <v>317</v>
      </c>
      <c r="N4" s="513" t="s">
        <v>318</v>
      </c>
      <c r="O4" s="513" t="s">
        <v>75</v>
      </c>
      <c r="P4" s="159" t="s">
        <v>314</v>
      </c>
      <c r="R4" s="300"/>
    </row>
    <row r="5" spans="1:18" s="3" customFormat="1" ht="14.4" thickBot="1" x14ac:dyDescent="0.35">
      <c r="A5" s="226"/>
      <c r="B5" s="510"/>
      <c r="C5" s="512"/>
      <c r="D5" s="512"/>
      <c r="E5" s="518"/>
      <c r="F5" s="519"/>
      <c r="G5" s="519"/>
      <c r="H5" s="519"/>
      <c r="I5" s="519"/>
      <c r="J5" s="519"/>
      <c r="K5" s="520"/>
      <c r="L5" s="512"/>
      <c r="M5" s="514"/>
      <c r="N5" s="514"/>
      <c r="O5" s="514"/>
      <c r="P5" s="371">
        <f>DATE(D15,12,31)</f>
        <v>693962</v>
      </c>
      <c r="R5" s="300"/>
    </row>
    <row r="6" spans="1:18" s="3" customFormat="1" ht="14.4" thickTop="1" x14ac:dyDescent="0.3">
      <c r="B6" s="38" t="s">
        <v>304</v>
      </c>
      <c r="C6" s="521"/>
      <c r="D6" s="521"/>
      <c r="E6" s="526"/>
      <c r="F6" s="527"/>
      <c r="G6" s="527"/>
      <c r="H6" s="527"/>
      <c r="I6" s="527"/>
      <c r="J6" s="527"/>
      <c r="K6" s="528"/>
      <c r="L6" s="341"/>
      <c r="M6" s="341"/>
      <c r="N6" s="342"/>
      <c r="O6" s="343"/>
      <c r="P6" s="342"/>
      <c r="R6" s="300"/>
    </row>
    <row r="7" spans="1:18" s="3" customFormat="1" x14ac:dyDescent="0.3">
      <c r="B7" s="39" t="s">
        <v>305</v>
      </c>
      <c r="C7" s="522"/>
      <c r="D7" s="522"/>
      <c r="E7" s="523"/>
      <c r="F7" s="524"/>
      <c r="G7" s="524"/>
      <c r="H7" s="524"/>
      <c r="I7" s="524"/>
      <c r="J7" s="524"/>
      <c r="K7" s="525"/>
      <c r="L7" s="344"/>
      <c r="M7" s="344"/>
      <c r="N7" s="345"/>
      <c r="O7" s="332"/>
      <c r="P7" s="346"/>
      <c r="R7" s="300"/>
    </row>
    <row r="8" spans="1:18" s="3" customFormat="1" x14ac:dyDescent="0.3">
      <c r="B8" s="39" t="s">
        <v>306</v>
      </c>
      <c r="C8" s="522"/>
      <c r="D8" s="522"/>
      <c r="E8" s="523"/>
      <c r="F8" s="524"/>
      <c r="G8" s="524"/>
      <c r="H8" s="524"/>
      <c r="I8" s="524"/>
      <c r="J8" s="524"/>
      <c r="K8" s="525"/>
      <c r="L8" s="344"/>
      <c r="M8" s="344"/>
      <c r="N8" s="345"/>
      <c r="O8" s="332"/>
      <c r="P8" s="346"/>
      <c r="R8" s="300"/>
    </row>
    <row r="9" spans="1:18" s="3" customFormat="1" x14ac:dyDescent="0.3">
      <c r="B9" s="39" t="s">
        <v>307</v>
      </c>
      <c r="C9" s="522"/>
      <c r="D9" s="522"/>
      <c r="E9" s="523"/>
      <c r="F9" s="524"/>
      <c r="G9" s="524"/>
      <c r="H9" s="524"/>
      <c r="I9" s="524"/>
      <c r="J9" s="524"/>
      <c r="K9" s="525"/>
      <c r="L9" s="344"/>
      <c r="M9" s="344"/>
      <c r="N9" s="345"/>
      <c r="O9" s="332"/>
      <c r="P9" s="346"/>
      <c r="R9" s="300"/>
    </row>
    <row r="10" spans="1:18" s="3" customFormat="1" ht="15" customHeight="1" thickBot="1" x14ac:dyDescent="0.35">
      <c r="A10" s="106"/>
      <c r="B10" s="105" t="s">
        <v>308</v>
      </c>
      <c r="C10" s="532"/>
      <c r="D10" s="532"/>
      <c r="E10" s="533"/>
      <c r="F10" s="534"/>
      <c r="G10" s="534"/>
      <c r="H10" s="534"/>
      <c r="I10" s="534"/>
      <c r="J10" s="534"/>
      <c r="K10" s="535"/>
      <c r="L10" s="347"/>
      <c r="M10" s="347"/>
      <c r="N10" s="348"/>
      <c r="O10" s="349"/>
      <c r="P10" s="350"/>
      <c r="R10" s="300"/>
    </row>
    <row r="11" spans="1:18" s="3" customFormat="1" ht="15.6" customHeight="1" thickTop="1" thickBot="1" x14ac:dyDescent="0.35">
      <c r="A11" s="106"/>
      <c r="B11" s="536" t="s">
        <v>36</v>
      </c>
      <c r="C11" s="537"/>
      <c r="D11" s="537"/>
      <c r="E11" s="160"/>
      <c r="F11" s="160"/>
      <c r="G11" s="160"/>
      <c r="H11" s="160"/>
      <c r="I11" s="160"/>
      <c r="J11" s="160"/>
      <c r="K11" s="160"/>
      <c r="L11" s="160"/>
      <c r="M11" s="160"/>
      <c r="N11" s="160"/>
      <c r="O11" s="160"/>
      <c r="P11" s="372">
        <f>SUM(P6:P10)</f>
        <v>0</v>
      </c>
      <c r="Q11" s="40"/>
      <c r="R11" s="267" t="str">
        <f>IF(P11&lt;&gt;D23+D33,"Klaida! Nesutampa paskolų ir lizingo įsipareigojimų likučiai 8.1. lentelėje su likučių suma 8.2. ir 8.3. lentelėse","ok")</f>
        <v>ok</v>
      </c>
    </row>
    <row r="12" spans="1:18" s="3" customFormat="1" ht="14.4" thickTop="1" x14ac:dyDescent="0.3">
      <c r="R12" s="300"/>
    </row>
    <row r="13" spans="1:18" s="7" customFormat="1" x14ac:dyDescent="0.3">
      <c r="A13" s="113"/>
      <c r="B13" s="412" t="s">
        <v>798</v>
      </c>
      <c r="C13" s="542" t="s">
        <v>311</v>
      </c>
      <c r="D13" s="543"/>
      <c r="E13" s="543"/>
      <c r="F13" s="543"/>
      <c r="G13" s="543"/>
      <c r="H13" s="543"/>
      <c r="I13" s="543"/>
      <c r="J13" s="543"/>
      <c r="K13" s="543"/>
      <c r="L13" s="544"/>
      <c r="N13" s="267" t="s">
        <v>324</v>
      </c>
    </row>
    <row r="14" spans="1:18" ht="22.8" x14ac:dyDescent="0.3">
      <c r="A14" s="217"/>
      <c r="B14" s="538" t="s">
        <v>34</v>
      </c>
      <c r="C14" s="538" t="s">
        <v>76</v>
      </c>
      <c r="D14" s="129" t="str">
        <f>IF(AND('1'!$C$22="Verslo pradžia",YEAR('1'!$E$22)=YEAR('1'!$C$11)),"Pradžios metai","Ataskaitiniai metai")</f>
        <v>Ataskaitiniai metai</v>
      </c>
      <c r="E14" s="476" t="s">
        <v>11</v>
      </c>
      <c r="F14" s="477"/>
      <c r="G14" s="477"/>
      <c r="H14" s="477"/>
      <c r="I14" s="477"/>
      <c r="J14" s="477"/>
      <c r="K14" s="477"/>
      <c r="L14" s="541"/>
      <c r="N14" s="300"/>
    </row>
    <row r="15" spans="1:18" ht="14.4" thickBot="1" x14ac:dyDescent="0.35">
      <c r="A15" s="218"/>
      <c r="B15" s="538"/>
      <c r="C15" s="538"/>
      <c r="D15" s="413">
        <f>IF(D14="Pradžios metai",YEAR('1'!$E$22),IF((YEAR('1'!$C$11)-1)+COUNT($C15:C15)&gt;YEAR('1'!$C$18)+Parametrai!$C$15,"-",(YEAR('1'!$C$11)-1)+COUNT($C15:C15)))</f>
        <v>1899</v>
      </c>
      <c r="E15" s="413">
        <f>IF(E14="Pradžios metai",YEAR('1'!$E$22),IF((YEAR('1'!$C$11)-1)+COUNT($C15:D15)&gt;YEAR('1'!$C$18)+Parametrai!$C$15,"-",(YEAR('1'!$C$11)-1)+COUNT($C15:D15)))</f>
        <v>1900</v>
      </c>
      <c r="F15" s="413">
        <f>IF(F14="Pradžios metai",YEAR('1'!$E$22),IF((YEAR('1'!$C$11)-1)+COUNT($C15:E15)&gt;YEAR('1'!$C$18)+Parametrai!$C$15,"-",(YEAR('1'!$C$11)-1)+COUNT($C15:E15)))</f>
        <v>1901</v>
      </c>
      <c r="G15" s="413">
        <f>IF(G14="Pradžios metai",YEAR('1'!$E$22),IF((YEAR('1'!$C$11)-1)+COUNT($C15:F15)&gt;YEAR('1'!$C$18)+Parametrai!$C$15,"-",(YEAR('1'!$C$11)-1)+COUNT($C15:F15)))</f>
        <v>1902</v>
      </c>
      <c r="H15" s="413">
        <f>IF(H14="Pradžios metai",YEAR('1'!$E$22),IF((YEAR('1'!$C$11)-1)+COUNT($C15:G15)&gt;YEAR('1'!$C$18)+Parametrai!$C$15,"-",(YEAR('1'!$C$11)-1)+COUNT($C15:G15)))</f>
        <v>1903</v>
      </c>
      <c r="I15" s="413" t="str">
        <f>IF(I14="Pradžios metai",YEAR('1'!$E$22),IF((YEAR('1'!$C$11)-1)+COUNT($C15:H15)&gt;YEAR('1'!$C$18)+Parametrai!$C$15,"-",(YEAR('1'!$C$11)-1)+COUNT($C15:H15)))</f>
        <v>-</v>
      </c>
      <c r="J15" s="413" t="str">
        <f>IF(J14="Pradžios metai",YEAR('1'!$E$22),IF((YEAR('1'!$C$11)-1)+COUNT($C15:I15)&gt;YEAR('1'!$C$18)+Parametrai!$C$15,"-",(YEAR('1'!$C$11)-1)+COUNT($C15:I15)))</f>
        <v>-</v>
      </c>
      <c r="K15" s="413" t="str">
        <f>IF(K14="Pradžios metai",YEAR('1'!$E$22),IF((YEAR('1'!$C$11)-1)+COUNT($C15:J15)&gt;YEAR('1'!$C$18)+Parametrai!$C$15,"-",(YEAR('1'!$C$11)-1)+COUNT($C15:J15)))</f>
        <v>-</v>
      </c>
      <c r="L15" s="413" t="str">
        <f>IF(L14="Pradžios metai",YEAR('1'!$E$22),IF((YEAR('1'!$C$11)-1)+COUNT($C15:K15)&gt;YEAR('1'!$C$18)+Parametrai!$C$15,"-",(YEAR('1'!$C$11)-1)+COUNT($C15:K15)))</f>
        <v>-</v>
      </c>
      <c r="N15" s="300"/>
    </row>
    <row r="16" spans="1:18" ht="14.4" thickTop="1" x14ac:dyDescent="0.3">
      <c r="B16" s="21" t="s">
        <v>788</v>
      </c>
      <c r="C16" s="13" t="s">
        <v>77</v>
      </c>
      <c r="D16" s="391">
        <f>+D17+D18</f>
        <v>0</v>
      </c>
      <c r="E16" s="391">
        <f>D23</f>
        <v>0</v>
      </c>
      <c r="F16" s="391">
        <f t="shared" ref="F16:L16" si="0">E23</f>
        <v>0</v>
      </c>
      <c r="G16" s="391">
        <f t="shared" si="0"/>
        <v>0</v>
      </c>
      <c r="H16" s="391">
        <f t="shared" si="0"/>
        <v>0</v>
      </c>
      <c r="I16" s="391">
        <f t="shared" si="0"/>
        <v>0</v>
      </c>
      <c r="J16" s="391">
        <f t="shared" si="0"/>
        <v>0</v>
      </c>
      <c r="K16" s="391">
        <f t="shared" si="0"/>
        <v>0</v>
      </c>
      <c r="L16" s="391">
        <f t="shared" si="0"/>
        <v>0</v>
      </c>
      <c r="N16" s="300"/>
    </row>
    <row r="17" spans="1:18" ht="21.75" customHeight="1" x14ac:dyDescent="0.3">
      <c r="B17" s="21" t="s">
        <v>789</v>
      </c>
      <c r="C17" s="13" t="s">
        <v>78</v>
      </c>
      <c r="D17" s="351"/>
      <c r="E17" s="391">
        <f>+D17+D19-D21</f>
        <v>0</v>
      </c>
      <c r="F17" s="391">
        <f t="shared" ref="F17:L17" si="1">+E17+E19-E21</f>
        <v>0</v>
      </c>
      <c r="G17" s="391">
        <f t="shared" si="1"/>
        <v>0</v>
      </c>
      <c r="H17" s="391">
        <f t="shared" si="1"/>
        <v>0</v>
      </c>
      <c r="I17" s="391">
        <f t="shared" si="1"/>
        <v>0</v>
      </c>
      <c r="J17" s="391">
        <f t="shared" si="1"/>
        <v>0</v>
      </c>
      <c r="K17" s="391">
        <f t="shared" si="1"/>
        <v>0</v>
      </c>
      <c r="L17" s="391">
        <f t="shared" si="1"/>
        <v>0</v>
      </c>
      <c r="N17" s="539" t="s">
        <v>870</v>
      </c>
      <c r="O17" s="539"/>
      <c r="P17" s="539"/>
    </row>
    <row r="18" spans="1:18" ht="21.75" customHeight="1" x14ac:dyDescent="0.3">
      <c r="B18" s="21" t="s">
        <v>790</v>
      </c>
      <c r="C18" s="21" t="s">
        <v>79</v>
      </c>
      <c r="D18" s="351"/>
      <c r="E18" s="391">
        <f>+D18-D22+D20</f>
        <v>0</v>
      </c>
      <c r="F18" s="391">
        <f t="shared" ref="F18:L18" si="2">+E18-E22+E20</f>
        <v>0</v>
      </c>
      <c r="G18" s="391">
        <f t="shared" si="2"/>
        <v>0</v>
      </c>
      <c r="H18" s="391">
        <f t="shared" si="2"/>
        <v>0</v>
      </c>
      <c r="I18" s="391">
        <f t="shared" si="2"/>
        <v>0</v>
      </c>
      <c r="J18" s="391">
        <f t="shared" si="2"/>
        <v>0</v>
      </c>
      <c r="K18" s="391">
        <f t="shared" si="2"/>
        <v>0</v>
      </c>
      <c r="L18" s="391">
        <f t="shared" si="2"/>
        <v>0</v>
      </c>
      <c r="N18" s="540" t="s">
        <v>869</v>
      </c>
      <c r="O18" s="540"/>
      <c r="P18" s="540"/>
    </row>
    <row r="19" spans="1:18" x14ac:dyDescent="0.3">
      <c r="B19" s="21" t="s">
        <v>791</v>
      </c>
      <c r="C19" s="21" t="s">
        <v>312</v>
      </c>
      <c r="D19" s="351"/>
      <c r="E19" s="351"/>
      <c r="F19" s="351"/>
      <c r="G19" s="351"/>
      <c r="H19" s="351"/>
      <c r="I19" s="351"/>
      <c r="J19" s="351"/>
      <c r="K19" s="351"/>
      <c r="L19" s="351"/>
      <c r="N19" s="300"/>
    </row>
    <row r="20" spans="1:18" x14ac:dyDescent="0.3">
      <c r="B20" s="21" t="s">
        <v>792</v>
      </c>
      <c r="C20" s="21" t="s">
        <v>80</v>
      </c>
      <c r="D20" s="351"/>
      <c r="E20" s="351"/>
      <c r="F20" s="351"/>
      <c r="G20" s="351"/>
      <c r="H20" s="351"/>
      <c r="I20" s="351"/>
      <c r="J20" s="351"/>
      <c r="K20" s="351"/>
      <c r="L20" s="351"/>
      <c r="N20" s="300"/>
    </row>
    <row r="21" spans="1:18" x14ac:dyDescent="0.3">
      <c r="B21" s="21" t="s">
        <v>793</v>
      </c>
      <c r="C21" s="21" t="s">
        <v>313</v>
      </c>
      <c r="D21" s="351"/>
      <c r="E21" s="351"/>
      <c r="F21" s="351"/>
      <c r="G21" s="351"/>
      <c r="H21" s="351"/>
      <c r="I21" s="351"/>
      <c r="J21" s="351"/>
      <c r="K21" s="351"/>
      <c r="L21" s="351"/>
      <c r="N21" s="300"/>
    </row>
    <row r="22" spans="1:18" ht="14.4" thickBot="1" x14ac:dyDescent="0.35">
      <c r="A22" s="109"/>
      <c r="B22" s="21" t="s">
        <v>787</v>
      </c>
      <c r="C22" s="21" t="s">
        <v>81</v>
      </c>
      <c r="D22" s="351"/>
      <c r="E22" s="351"/>
      <c r="F22" s="351"/>
      <c r="G22" s="351"/>
      <c r="H22" s="351"/>
      <c r="I22" s="351"/>
      <c r="J22" s="351"/>
      <c r="K22" s="351"/>
      <c r="L22" s="351"/>
      <c r="N22" s="300"/>
    </row>
    <row r="23" spans="1:18" ht="15" thickTop="1" thickBot="1" x14ac:dyDescent="0.35">
      <c r="A23" s="109"/>
      <c r="B23" s="21" t="s">
        <v>786</v>
      </c>
      <c r="C23" s="21" t="s">
        <v>82</v>
      </c>
      <c r="D23" s="391">
        <f>+D16+D19+D20-D21-D22</f>
        <v>0</v>
      </c>
      <c r="E23" s="391">
        <f t="shared" ref="E23:L23" si="3">+E16+E19+E20-E21-E22</f>
        <v>0</v>
      </c>
      <c r="F23" s="391">
        <f t="shared" si="3"/>
        <v>0</v>
      </c>
      <c r="G23" s="391">
        <f t="shared" si="3"/>
        <v>0</v>
      </c>
      <c r="H23" s="391">
        <f t="shared" si="3"/>
        <v>0</v>
      </c>
      <c r="I23" s="391">
        <f t="shared" si="3"/>
        <v>0</v>
      </c>
      <c r="J23" s="391">
        <f t="shared" si="3"/>
        <v>0</v>
      </c>
      <c r="K23" s="391">
        <f t="shared" si="3"/>
        <v>0</v>
      </c>
      <c r="L23" s="391">
        <f t="shared" si="3"/>
        <v>0</v>
      </c>
      <c r="N23" s="300"/>
    </row>
    <row r="24" spans="1:18" ht="29.25" customHeight="1" thickTop="1" thickBot="1" x14ac:dyDescent="0.35">
      <c r="B24" s="21" t="s">
        <v>784</v>
      </c>
      <c r="C24" s="415" t="s">
        <v>794</v>
      </c>
      <c r="D24" s="351"/>
      <c r="E24" s="351"/>
      <c r="F24" s="351"/>
      <c r="G24" s="351"/>
      <c r="H24" s="351"/>
      <c r="I24" s="351"/>
      <c r="J24" s="351"/>
      <c r="K24" s="351"/>
      <c r="L24" s="351"/>
      <c r="N24" s="529" t="s">
        <v>868</v>
      </c>
      <c r="O24" s="529"/>
      <c r="P24" s="529"/>
    </row>
    <row r="25" spans="1:18" ht="14.4" thickTop="1" x14ac:dyDescent="0.3">
      <c r="A25" s="112"/>
      <c r="B25" s="21" t="s">
        <v>785</v>
      </c>
      <c r="C25" s="21" t="s">
        <v>83</v>
      </c>
      <c r="D25" s="351"/>
      <c r="E25" s="351"/>
      <c r="F25" s="351"/>
      <c r="G25" s="351"/>
      <c r="H25" s="351"/>
      <c r="I25" s="351"/>
      <c r="J25" s="351"/>
      <c r="K25" s="351"/>
      <c r="L25" s="351"/>
      <c r="N25" s="300"/>
    </row>
    <row r="26" spans="1:18" x14ac:dyDescent="0.3">
      <c r="R26" s="300"/>
    </row>
    <row r="27" spans="1:18" s="7" customFormat="1" ht="15" customHeight="1" x14ac:dyDescent="0.3">
      <c r="A27" s="113"/>
      <c r="B27" s="161" t="s">
        <v>799</v>
      </c>
      <c r="C27" s="158" t="s">
        <v>329</v>
      </c>
      <c r="D27" s="158"/>
      <c r="E27" s="158"/>
      <c r="F27" s="158"/>
      <c r="G27" s="158"/>
      <c r="H27" s="158"/>
      <c r="I27" s="158"/>
      <c r="J27" s="162"/>
      <c r="K27" s="162"/>
      <c r="L27" s="162"/>
      <c r="N27" s="267" t="s">
        <v>325</v>
      </c>
    </row>
    <row r="28" spans="1:18" ht="22.8" x14ac:dyDescent="0.3">
      <c r="A28" s="220"/>
      <c r="B28" s="530" t="s">
        <v>34</v>
      </c>
      <c r="C28" s="530" t="s">
        <v>76</v>
      </c>
      <c r="D28" s="126" t="str">
        <f>IF(AND('1'!$C$22="Verslo pradžia",YEAR('1'!$E$22)=YEAR('1'!$C$11)),"Pradžios metai","Ataskaitiniai metai")</f>
        <v>Ataskaitiniai metai</v>
      </c>
      <c r="E28" s="170" t="s">
        <v>11</v>
      </c>
      <c r="F28" s="411"/>
      <c r="G28" s="411"/>
      <c r="H28" s="411"/>
      <c r="I28" s="411"/>
      <c r="J28" s="411"/>
      <c r="K28" s="411"/>
      <c r="L28" s="411"/>
      <c r="N28" s="300"/>
    </row>
    <row r="29" spans="1:18" ht="14.4" thickBot="1" x14ac:dyDescent="0.35">
      <c r="A29" s="109"/>
      <c r="B29" s="531"/>
      <c r="C29" s="531"/>
      <c r="D29" s="364">
        <f>IF(D28="Pradžios metai",YEAR('1'!$E$22),IF((YEAR('1'!$C$11)-1)+COUNT($C29:C29)&gt;YEAR('1'!$C$18)+Parametrai!$C$15,"-",(YEAR('1'!$C$11)-1)+COUNT($C29:C29)))</f>
        <v>1899</v>
      </c>
      <c r="E29" s="364">
        <f>IF(E28="Pradžios metai",YEAR('1'!$E$22),IF((YEAR('1'!$C$11)-1)+COUNT($C29:D29)&gt;YEAR('1'!$C$18)+Parametrai!$C$15,"-",(YEAR('1'!$C$11)-1)+COUNT($C29:D29)))</f>
        <v>1900</v>
      </c>
      <c r="F29" s="364">
        <f>IF(F28="Pradžios metai",YEAR('1'!$E$22),IF((YEAR('1'!$C$11)-1)+COUNT($C29:E29)&gt;YEAR('1'!$C$18)+Parametrai!$C$15,"-",(YEAR('1'!$C$11)-1)+COUNT($C29:E29)))</f>
        <v>1901</v>
      </c>
      <c r="G29" s="364">
        <f>IF(G28="Pradžios metai",YEAR('1'!$E$22),IF((YEAR('1'!$C$11)-1)+COUNT($C29:F29)&gt;YEAR('1'!$C$18)+Parametrai!$C$15,"-",(YEAR('1'!$C$11)-1)+COUNT($C29:F29)))</f>
        <v>1902</v>
      </c>
      <c r="H29" s="364">
        <f>IF(H28="Pradžios metai",YEAR('1'!$E$22),IF((YEAR('1'!$C$11)-1)+COUNT($C29:G29)&gt;YEAR('1'!$C$18)+Parametrai!$C$15,"-",(YEAR('1'!$C$11)-1)+COUNT($C29:G29)))</f>
        <v>1903</v>
      </c>
      <c r="I29" s="364" t="str">
        <f>IF(I28="Pradžios metai",YEAR('1'!$E$22),IF((YEAR('1'!$C$11)-1)+COUNT($C29:H29)&gt;YEAR('1'!$C$18)+Parametrai!$C$15,"-",(YEAR('1'!$C$11)-1)+COUNT($C29:H29)))</f>
        <v>-</v>
      </c>
      <c r="J29" s="364" t="str">
        <f>IF(J28="Pradžios metai",YEAR('1'!$E$22),IF((YEAR('1'!$C$11)-1)+COUNT($C29:I29)&gt;YEAR('1'!$C$18)+Parametrai!$C$15,"-",(YEAR('1'!$C$11)-1)+COUNT($C29:I29)))</f>
        <v>-</v>
      </c>
      <c r="K29" s="364" t="str">
        <f>IF(K28="Pradžios metai",YEAR('1'!$E$22),IF((YEAR('1'!$C$11)-1)+COUNT($C29:J29)&gt;YEAR('1'!$C$18)+Parametrai!$C$15,"-",(YEAR('1'!$C$11)-1)+COUNT($C29:J29)))</f>
        <v>-</v>
      </c>
      <c r="L29" s="364" t="str">
        <f>IF(L28="Pradžios metai",YEAR('1'!$E$22),IF((YEAR('1'!$C$11)-1)+COUNT($C29:K29)&gt;YEAR('1'!$C$18)+Parametrai!$C$15,"-",(YEAR('1'!$C$11)-1)+COUNT($C29:K29)))</f>
        <v>-</v>
      </c>
      <c r="N29" s="300"/>
    </row>
    <row r="30" spans="1:18" ht="24.6" thickTop="1" x14ac:dyDescent="0.3">
      <c r="B30" s="219" t="s">
        <v>780</v>
      </c>
      <c r="C30" s="117" t="s">
        <v>84</v>
      </c>
      <c r="D30" s="355"/>
      <c r="E30" s="390">
        <f>+D33</f>
        <v>0</v>
      </c>
      <c r="F30" s="390">
        <f t="shared" ref="F30:L30" si="4">+E33</f>
        <v>0</v>
      </c>
      <c r="G30" s="390">
        <f t="shared" si="4"/>
        <v>0</v>
      </c>
      <c r="H30" s="390">
        <f t="shared" si="4"/>
        <v>0</v>
      </c>
      <c r="I30" s="390">
        <f t="shared" si="4"/>
        <v>0</v>
      </c>
      <c r="J30" s="390">
        <f t="shared" si="4"/>
        <v>0</v>
      </c>
      <c r="K30" s="390">
        <f t="shared" si="4"/>
        <v>0</v>
      </c>
      <c r="L30" s="390">
        <f t="shared" si="4"/>
        <v>0</v>
      </c>
      <c r="N30" s="300"/>
    </row>
    <row r="31" spans="1:18" x14ac:dyDescent="0.3">
      <c r="B31" s="27" t="s">
        <v>781</v>
      </c>
      <c r="C31" s="41" t="s">
        <v>721</v>
      </c>
      <c r="D31" s="351"/>
      <c r="E31" s="351"/>
      <c r="F31" s="351"/>
      <c r="G31" s="351"/>
      <c r="H31" s="351"/>
      <c r="I31" s="351"/>
      <c r="J31" s="351"/>
      <c r="K31" s="351"/>
      <c r="L31" s="351"/>
      <c r="N31" s="300"/>
    </row>
    <row r="32" spans="1:18" ht="14.4" thickBot="1" x14ac:dyDescent="0.35">
      <c r="A32" s="109"/>
      <c r="B32" s="114" t="s">
        <v>782</v>
      </c>
      <c r="C32" s="110" t="s">
        <v>85</v>
      </c>
      <c r="D32" s="352"/>
      <c r="E32" s="352"/>
      <c r="F32" s="352"/>
      <c r="G32" s="352"/>
      <c r="H32" s="352"/>
      <c r="I32" s="352"/>
      <c r="J32" s="352"/>
      <c r="K32" s="352"/>
      <c r="L32" s="352"/>
      <c r="N32" s="300"/>
    </row>
    <row r="33" spans="1:17" ht="25.2" thickTop="1" thickBot="1" x14ac:dyDescent="0.35">
      <c r="A33" s="109"/>
      <c r="B33" s="115" t="s">
        <v>783</v>
      </c>
      <c r="C33" s="111" t="s">
        <v>86</v>
      </c>
      <c r="D33" s="392">
        <f>+D30+D31-D32</f>
        <v>0</v>
      </c>
      <c r="E33" s="392">
        <f>+E30+E31-E32</f>
        <v>0</v>
      </c>
      <c r="F33" s="392">
        <f t="shared" ref="F33:L33" si="5">+F30+F31-F32</f>
        <v>0</v>
      </c>
      <c r="G33" s="392">
        <f t="shared" si="5"/>
        <v>0</v>
      </c>
      <c r="H33" s="392">
        <f t="shared" si="5"/>
        <v>0</v>
      </c>
      <c r="I33" s="392">
        <f t="shared" si="5"/>
        <v>0</v>
      </c>
      <c r="J33" s="392">
        <f t="shared" si="5"/>
        <v>0</v>
      </c>
      <c r="K33" s="392">
        <f t="shared" si="5"/>
        <v>0</v>
      </c>
      <c r="L33" s="392">
        <f t="shared" si="5"/>
        <v>0</v>
      </c>
      <c r="N33" s="300"/>
    </row>
    <row r="34" spans="1:17" ht="32.25" customHeight="1" thickTop="1" thickBot="1" x14ac:dyDescent="0.35">
      <c r="B34" s="120" t="s">
        <v>778</v>
      </c>
      <c r="C34" s="265" t="s">
        <v>795</v>
      </c>
      <c r="D34" s="353"/>
      <c r="E34" s="353"/>
      <c r="F34" s="353"/>
      <c r="G34" s="353"/>
      <c r="H34" s="353"/>
      <c r="I34" s="353"/>
      <c r="J34" s="353"/>
      <c r="K34" s="353"/>
      <c r="L34" s="353"/>
      <c r="N34" s="529" t="s">
        <v>867</v>
      </c>
      <c r="O34" s="529"/>
      <c r="P34" s="529"/>
      <c r="Q34" s="529"/>
    </row>
    <row r="35" spans="1:17" ht="14.25" customHeight="1" thickTop="1" x14ac:dyDescent="0.3">
      <c r="A35" s="112"/>
      <c r="B35" s="116" t="s">
        <v>779</v>
      </c>
      <c r="C35" s="208" t="s">
        <v>87</v>
      </c>
      <c r="D35" s="354"/>
      <c r="E35" s="354"/>
      <c r="F35" s="354"/>
      <c r="G35" s="354"/>
      <c r="H35" s="354"/>
      <c r="I35" s="354"/>
      <c r="J35" s="354"/>
      <c r="K35" s="354"/>
      <c r="L35" s="354"/>
      <c r="N35" s="300"/>
    </row>
    <row r="37" spans="1:17" x14ac:dyDescent="0.3">
      <c r="D37" s="251"/>
      <c r="E37" s="251"/>
      <c r="F37" s="251"/>
      <c r="G37" s="251"/>
      <c r="H37" s="251"/>
      <c r="I37" s="251"/>
    </row>
    <row r="38" spans="1:17" x14ac:dyDescent="0.3">
      <c r="D38" s="251"/>
    </row>
    <row r="41" spans="1:17" x14ac:dyDescent="0.3">
      <c r="D41" s="42"/>
      <c r="E41" s="42"/>
      <c r="F41" s="42"/>
      <c r="G41" s="42"/>
      <c r="H41" s="42"/>
      <c r="I41" s="42"/>
      <c r="J41" s="42"/>
      <c r="K41" s="42"/>
      <c r="L41" s="42"/>
      <c r="M41" s="42"/>
      <c r="N41" s="42"/>
      <c r="O41" s="42"/>
      <c r="P41" s="42"/>
    </row>
  </sheetData>
  <sheetProtection algorithmName="SHA-512" hashValue="2R0wD/vdCwYjGijbINrl/GkP8uvciG3Phv6uTsppO/amyiyVNWDWCg9xboSylemL7zuySuS06ABepus5GvOUMg==" saltValue="YMOTiU/49me+mUqChkLPQA==" spinCount="100000" sheet="1" objects="1" scenarios="1" formatRows="0" insertRows="0"/>
  <mergeCells count="29">
    <mergeCell ref="N34:Q34"/>
    <mergeCell ref="B28:B29"/>
    <mergeCell ref="C28:C29"/>
    <mergeCell ref="C10:D10"/>
    <mergeCell ref="E10:K10"/>
    <mergeCell ref="B11:D11"/>
    <mergeCell ref="B14:B15"/>
    <mergeCell ref="C14:C15"/>
    <mergeCell ref="N17:P17"/>
    <mergeCell ref="N18:P18"/>
    <mergeCell ref="N24:P24"/>
    <mergeCell ref="E14:L14"/>
    <mergeCell ref="C13:L13"/>
    <mergeCell ref="C6:D6"/>
    <mergeCell ref="C7:D7"/>
    <mergeCell ref="C8:D8"/>
    <mergeCell ref="C9:D9"/>
    <mergeCell ref="E9:K9"/>
    <mergeCell ref="E6:K6"/>
    <mergeCell ref="E7:K7"/>
    <mergeCell ref="E8:K8"/>
    <mergeCell ref="C1:P1"/>
    <mergeCell ref="B4:B5"/>
    <mergeCell ref="C4:D5"/>
    <mergeCell ref="L4:L5"/>
    <mergeCell ref="M4:M5"/>
    <mergeCell ref="N4:N5"/>
    <mergeCell ref="O4:O5"/>
    <mergeCell ref="E4:K5"/>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3" priority="2">
      <formula>D29="-"</formula>
    </cfRule>
  </conditionalFormatting>
  <conditionalFormatting sqref="P11">
    <cfRule type="expression" dxfId="42" priority="110">
      <formula>$P$11&lt;&gt;$D$23+$D$33</formula>
    </cfRule>
  </conditionalFormatting>
  <conditionalFormatting sqref="R11">
    <cfRule type="expression" dxfId="41"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15D4-29EE-4B21-B89A-6E6BD9DCAD53}">
  <sheetPr codeName="Lapas16">
    <tabColor theme="9" tint="-0.499984740745262"/>
  </sheetPr>
  <dimension ref="B1:O61"/>
  <sheetViews>
    <sheetView topLeftCell="B1" zoomScaleNormal="100" workbookViewId="0">
      <pane xSplit="2" ySplit="6" topLeftCell="D48" activePane="bottomRight" state="frozen"/>
      <selection activeCell="B14" sqref="B14:L14"/>
      <selection pane="topRight" activeCell="B14" sqref="B14:L14"/>
      <selection pane="bottomLeft" activeCell="B14" sqref="B14:L14"/>
      <selection pane="bottomRight" activeCell="D52" sqref="D52"/>
    </sheetView>
  </sheetViews>
  <sheetFormatPr defaultColWidth="8.6640625" defaultRowHeight="13.8" x14ac:dyDescent="0.3"/>
  <cols>
    <col min="1" max="1" width="0" style="3" hidden="1" customWidth="1"/>
    <col min="2" max="2" width="6.33203125" style="3" customWidth="1"/>
    <col min="3" max="3" width="33.33203125" style="1" customWidth="1"/>
    <col min="4" max="12" width="10" style="3" customWidth="1"/>
    <col min="13" max="13" width="7" style="4" customWidth="1"/>
    <col min="14" max="14" width="43.44140625" style="3" customWidth="1"/>
    <col min="15"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 t="shared" ref="D2:L2" si="0">ROUND(D31-D61,0)</f>
        <v>0</v>
      </c>
      <c r="E2" s="393">
        <f t="shared" si="0"/>
        <v>0</v>
      </c>
      <c r="F2" s="393">
        <f t="shared" si="0"/>
        <v>0</v>
      </c>
      <c r="G2" s="393">
        <f t="shared" si="0"/>
        <v>0</v>
      </c>
      <c r="H2" s="393">
        <f t="shared" si="0"/>
        <v>0</v>
      </c>
      <c r="I2" s="393">
        <f t="shared" si="0"/>
        <v>0</v>
      </c>
      <c r="J2" s="393">
        <f t="shared" si="0"/>
        <v>0</v>
      </c>
      <c r="K2" s="393">
        <f t="shared" si="0"/>
        <v>0</v>
      </c>
      <c r="L2" s="393">
        <f t="shared" si="0"/>
        <v>0</v>
      </c>
      <c r="N2" s="267" t="str">
        <f>IF((COUNTIFS(D2:L2,"&gt;3")+COUNTIFS(D2:L2,"&lt;-3"))&gt;0,"Klaida! Patikrinkite duomenis, turtas iš viso nėra lygus nuosavybei ir įsipareigojimams iš viso","ok")</f>
        <v>ok</v>
      </c>
    </row>
    <row r="3" spans="2:14" s="2" customFormat="1" x14ac:dyDescent="0.3">
      <c r="B3" s="134" t="s">
        <v>319</v>
      </c>
      <c r="C3" s="163" t="s">
        <v>648</v>
      </c>
      <c r="D3" s="134"/>
      <c r="E3" s="134"/>
      <c r="F3" s="134"/>
      <c r="G3" s="134"/>
      <c r="H3" s="134"/>
      <c r="I3" s="134"/>
      <c r="J3" s="134"/>
      <c r="K3" s="134"/>
      <c r="L3" s="134"/>
      <c r="M3" s="44"/>
      <c r="N3" s="309"/>
    </row>
    <row r="4" spans="2:14" x14ac:dyDescent="0.3">
      <c r="N4" s="309"/>
    </row>
    <row r="5" spans="2:14" ht="22.8" x14ac:dyDescent="0.3">
      <c r="B5" s="545" t="s">
        <v>21</v>
      </c>
      <c r="C5" s="491" t="s">
        <v>43</v>
      </c>
      <c r="D5" s="126" t="str">
        <f>IF(AND('1'!$C$22="Verslo pradžia",YEAR('1'!$E$22)=YEAR('1'!$C$11)),"Pradžios metai","Ataskaitiniai metai")</f>
        <v>Ataskaitiniai metai</v>
      </c>
      <c r="E5" s="476" t="s">
        <v>11</v>
      </c>
      <c r="F5" s="477"/>
      <c r="G5" s="477"/>
      <c r="H5" s="477"/>
      <c r="I5" s="477"/>
      <c r="J5" s="477"/>
      <c r="K5" s="477"/>
      <c r="L5" s="477"/>
      <c r="M5" s="46"/>
      <c r="N5" s="309"/>
    </row>
    <row r="6" spans="2:14" ht="14.4" thickBot="1" x14ac:dyDescent="0.35">
      <c r="B6" s="546"/>
      <c r="C6" s="492"/>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4.4" thickTop="1" x14ac:dyDescent="0.3">
      <c r="B7" s="164"/>
      <c r="C7" s="165" t="s">
        <v>91</v>
      </c>
      <c r="D7" s="166"/>
      <c r="E7" s="167"/>
      <c r="F7" s="167"/>
      <c r="G7" s="167"/>
      <c r="H7" s="167"/>
      <c r="I7" s="167"/>
      <c r="J7" s="167"/>
      <c r="K7" s="167"/>
      <c r="L7" s="167"/>
      <c r="N7" s="309"/>
    </row>
    <row r="8" spans="2:14" x14ac:dyDescent="0.3">
      <c r="B8" s="168" t="s">
        <v>92</v>
      </c>
      <c r="C8" s="142" t="s">
        <v>93</v>
      </c>
      <c r="D8" s="395">
        <f t="shared" ref="D8:L8" si="1">SUM(D9,D10,D18,D19)</f>
        <v>0</v>
      </c>
      <c r="E8" s="395">
        <f t="shared" si="1"/>
        <v>0</v>
      </c>
      <c r="F8" s="395">
        <f t="shared" si="1"/>
        <v>0</v>
      </c>
      <c r="G8" s="395">
        <f t="shared" si="1"/>
        <v>0</v>
      </c>
      <c r="H8" s="395">
        <f t="shared" si="1"/>
        <v>0</v>
      </c>
      <c r="I8" s="395">
        <f t="shared" si="1"/>
        <v>0</v>
      </c>
      <c r="J8" s="395">
        <f t="shared" si="1"/>
        <v>0</v>
      </c>
      <c r="K8" s="395">
        <f t="shared" si="1"/>
        <v>0</v>
      </c>
      <c r="L8" s="395">
        <f t="shared" si="1"/>
        <v>0</v>
      </c>
      <c r="M8" s="47"/>
      <c r="N8" s="309"/>
    </row>
    <row r="9" spans="2:14" x14ac:dyDescent="0.3">
      <c r="B9" s="48" t="s">
        <v>435</v>
      </c>
      <c r="C9" s="18" t="s">
        <v>94</v>
      </c>
      <c r="D9" s="394">
        <f>'6'!D59</f>
        <v>0</v>
      </c>
      <c r="E9" s="394">
        <f>'6'!E59</f>
        <v>0</v>
      </c>
      <c r="F9" s="394">
        <f>'6'!F59</f>
        <v>0</v>
      </c>
      <c r="G9" s="394">
        <f>'6'!G59</f>
        <v>0</v>
      </c>
      <c r="H9" s="394">
        <f>'6'!H59</f>
        <v>0</v>
      </c>
      <c r="I9" s="394">
        <f>'6'!I59</f>
        <v>0</v>
      </c>
      <c r="J9" s="394">
        <f>'6'!J59</f>
        <v>0</v>
      </c>
      <c r="K9" s="394">
        <f>'6'!K59</f>
        <v>0</v>
      </c>
      <c r="L9" s="394">
        <f>'6'!L59</f>
        <v>0</v>
      </c>
      <c r="M9" s="47"/>
      <c r="N9" s="309"/>
    </row>
    <row r="10" spans="2:14" x14ac:dyDescent="0.3">
      <c r="B10" s="48" t="s">
        <v>436</v>
      </c>
      <c r="C10" s="18" t="s">
        <v>95</v>
      </c>
      <c r="D10" s="391">
        <f t="shared" ref="D10:L10" si="2">SUM(D11,D12:D17)</f>
        <v>0</v>
      </c>
      <c r="E10" s="391">
        <f t="shared" si="2"/>
        <v>0</v>
      </c>
      <c r="F10" s="391">
        <f t="shared" si="2"/>
        <v>0</v>
      </c>
      <c r="G10" s="391">
        <f t="shared" si="2"/>
        <v>0</v>
      </c>
      <c r="H10" s="391">
        <f t="shared" si="2"/>
        <v>0</v>
      </c>
      <c r="I10" s="391">
        <f t="shared" si="2"/>
        <v>0</v>
      </c>
      <c r="J10" s="391">
        <f t="shared" si="2"/>
        <v>0</v>
      </c>
      <c r="K10" s="391">
        <f t="shared" si="2"/>
        <v>0</v>
      </c>
      <c r="L10" s="391">
        <f t="shared" si="2"/>
        <v>0</v>
      </c>
      <c r="N10" s="309"/>
    </row>
    <row r="11" spans="2:14" x14ac:dyDescent="0.3">
      <c r="B11" s="48" t="s">
        <v>573</v>
      </c>
      <c r="C11" s="18" t="s">
        <v>96</v>
      </c>
      <c r="D11" s="394">
        <f>+'6'!D9</f>
        <v>0</v>
      </c>
      <c r="E11" s="394">
        <f>+'6'!E9</f>
        <v>0</v>
      </c>
      <c r="F11" s="394">
        <f>+'6'!F9</f>
        <v>0</v>
      </c>
      <c r="G11" s="394">
        <f>+'6'!G9</f>
        <v>0</v>
      </c>
      <c r="H11" s="394">
        <f>+'6'!H9</f>
        <v>0</v>
      </c>
      <c r="I11" s="394">
        <f>+'6'!I9</f>
        <v>0</v>
      </c>
      <c r="J11" s="394">
        <f>+'6'!J9</f>
        <v>0</v>
      </c>
      <c r="K11" s="394">
        <f>+'6'!K9</f>
        <v>0</v>
      </c>
      <c r="L11" s="394">
        <f>+'6'!L9</f>
        <v>0</v>
      </c>
      <c r="M11" s="47"/>
      <c r="N11" s="309"/>
    </row>
    <row r="12" spans="2:14" x14ac:dyDescent="0.3">
      <c r="B12" s="48" t="s">
        <v>554</v>
      </c>
      <c r="C12" s="18" t="s">
        <v>38</v>
      </c>
      <c r="D12" s="394">
        <f>'6'!D19</f>
        <v>0</v>
      </c>
      <c r="E12" s="394">
        <f>'6'!E19</f>
        <v>0</v>
      </c>
      <c r="F12" s="394">
        <f>'6'!F19</f>
        <v>0</v>
      </c>
      <c r="G12" s="394">
        <f>'6'!G19</f>
        <v>0</v>
      </c>
      <c r="H12" s="394">
        <f>'6'!H19</f>
        <v>0</v>
      </c>
      <c r="I12" s="394">
        <f>'6'!I19</f>
        <v>0</v>
      </c>
      <c r="J12" s="394">
        <f>'6'!J19</f>
        <v>0</v>
      </c>
      <c r="K12" s="394">
        <f>'6'!K19</f>
        <v>0</v>
      </c>
      <c r="L12" s="394">
        <f>'6'!L19</f>
        <v>0</v>
      </c>
      <c r="N12" s="309"/>
    </row>
    <row r="13" spans="2:14" x14ac:dyDescent="0.3">
      <c r="B13" s="48" t="s">
        <v>574</v>
      </c>
      <c r="C13" s="18" t="s">
        <v>55</v>
      </c>
      <c r="D13" s="394">
        <f>'6'!D29</f>
        <v>0</v>
      </c>
      <c r="E13" s="394">
        <f>'6'!E29</f>
        <v>0</v>
      </c>
      <c r="F13" s="394">
        <f>'6'!F29</f>
        <v>0</v>
      </c>
      <c r="G13" s="394">
        <f>'6'!G29</f>
        <v>0</v>
      </c>
      <c r="H13" s="394">
        <f>'6'!H29</f>
        <v>0</v>
      </c>
      <c r="I13" s="394">
        <f>'6'!I29</f>
        <v>0</v>
      </c>
      <c r="J13" s="394">
        <f>'6'!J29</f>
        <v>0</v>
      </c>
      <c r="K13" s="394">
        <f>'6'!K29</f>
        <v>0</v>
      </c>
      <c r="L13" s="394">
        <f>'6'!L29</f>
        <v>0</v>
      </c>
      <c r="N13" s="309"/>
    </row>
    <row r="14" spans="2:14" x14ac:dyDescent="0.3">
      <c r="B14" s="48" t="s">
        <v>575</v>
      </c>
      <c r="C14" s="18" t="s">
        <v>39</v>
      </c>
      <c r="D14" s="394">
        <f>'6'!D39</f>
        <v>0</v>
      </c>
      <c r="E14" s="394">
        <f>'6'!E39</f>
        <v>0</v>
      </c>
      <c r="F14" s="394">
        <f>'6'!F39</f>
        <v>0</v>
      </c>
      <c r="G14" s="394">
        <f>'6'!G39</f>
        <v>0</v>
      </c>
      <c r="H14" s="394">
        <f>'6'!H39</f>
        <v>0</v>
      </c>
      <c r="I14" s="394">
        <f>'6'!I39</f>
        <v>0</v>
      </c>
      <c r="J14" s="394">
        <f>'6'!J39</f>
        <v>0</v>
      </c>
      <c r="K14" s="394">
        <f>'6'!K39</f>
        <v>0</v>
      </c>
      <c r="L14" s="394">
        <f>'6'!L39</f>
        <v>0</v>
      </c>
      <c r="N14" s="309"/>
    </row>
    <row r="15" spans="2:14" x14ac:dyDescent="0.3">
      <c r="B15" s="48" t="s">
        <v>576</v>
      </c>
      <c r="C15" s="18" t="s">
        <v>56</v>
      </c>
      <c r="D15" s="394">
        <f>'6'!D49</f>
        <v>0</v>
      </c>
      <c r="E15" s="394">
        <f>'6'!E49</f>
        <v>0</v>
      </c>
      <c r="F15" s="394">
        <f>'6'!F49</f>
        <v>0</v>
      </c>
      <c r="G15" s="394">
        <f>'6'!G49</f>
        <v>0</v>
      </c>
      <c r="H15" s="394">
        <f>'6'!H49</f>
        <v>0</v>
      </c>
      <c r="I15" s="394">
        <f>'6'!I49</f>
        <v>0</v>
      </c>
      <c r="J15" s="394">
        <f>'6'!J49</f>
        <v>0</v>
      </c>
      <c r="K15" s="394">
        <f>'6'!K49</f>
        <v>0</v>
      </c>
      <c r="L15" s="394">
        <f>'6'!L49</f>
        <v>0</v>
      </c>
      <c r="N15" s="309"/>
    </row>
    <row r="16" spans="2:14" x14ac:dyDescent="0.3">
      <c r="B16" s="48" t="s">
        <v>577</v>
      </c>
      <c r="C16" s="209" t="s">
        <v>611</v>
      </c>
      <c r="D16" s="107"/>
      <c r="E16" s="107"/>
      <c r="F16" s="107"/>
      <c r="G16" s="107"/>
      <c r="H16" s="107"/>
      <c r="I16" s="107"/>
      <c r="J16" s="107"/>
      <c r="K16" s="107"/>
      <c r="L16" s="107"/>
      <c r="N16" s="309" t="s">
        <v>872</v>
      </c>
    </row>
    <row r="17" spans="2:15" x14ac:dyDescent="0.3">
      <c r="B17" s="48" t="s">
        <v>578</v>
      </c>
      <c r="C17" s="18" t="s">
        <v>645</v>
      </c>
      <c r="D17" s="107"/>
      <c r="E17" s="107"/>
      <c r="F17" s="107"/>
      <c r="G17" s="107"/>
      <c r="H17" s="107"/>
      <c r="I17" s="107"/>
      <c r="J17" s="107"/>
      <c r="K17" s="107"/>
      <c r="L17" s="107"/>
      <c r="N17" s="309" t="s">
        <v>873</v>
      </c>
    </row>
    <row r="18" spans="2:15" x14ac:dyDescent="0.3">
      <c r="B18" s="48" t="s">
        <v>437</v>
      </c>
      <c r="C18" s="18" t="s">
        <v>97</v>
      </c>
      <c r="D18" s="346"/>
      <c r="E18" s="346"/>
      <c r="F18" s="346"/>
      <c r="G18" s="346"/>
      <c r="H18" s="346"/>
      <c r="I18" s="346"/>
      <c r="J18" s="346"/>
      <c r="K18" s="346"/>
      <c r="L18" s="346"/>
      <c r="N18" s="309" t="s">
        <v>828</v>
      </c>
    </row>
    <row r="19" spans="2:15" x14ac:dyDescent="0.3">
      <c r="B19" s="48" t="s">
        <v>438</v>
      </c>
      <c r="C19" s="18" t="s">
        <v>99</v>
      </c>
      <c r="D19" s="346"/>
      <c r="E19" s="346"/>
      <c r="F19" s="346"/>
      <c r="G19" s="346"/>
      <c r="H19" s="346"/>
      <c r="I19" s="346"/>
      <c r="J19" s="346"/>
      <c r="K19" s="346"/>
      <c r="L19" s="346"/>
      <c r="N19" s="309" t="s">
        <v>804</v>
      </c>
    </row>
    <row r="20" spans="2:15" x14ac:dyDescent="0.3">
      <c r="B20" s="127" t="s">
        <v>100</v>
      </c>
      <c r="C20" s="128" t="s">
        <v>101</v>
      </c>
      <c r="D20" s="204">
        <f t="shared" ref="D20:L20" si="3">SUM(D21,D25,D28,D29)</f>
        <v>0</v>
      </c>
      <c r="E20" s="204">
        <f t="shared" si="3"/>
        <v>0</v>
      </c>
      <c r="F20" s="204">
        <f t="shared" si="3"/>
        <v>0</v>
      </c>
      <c r="G20" s="204">
        <f t="shared" si="3"/>
        <v>0</v>
      </c>
      <c r="H20" s="204">
        <f t="shared" si="3"/>
        <v>0</v>
      </c>
      <c r="I20" s="204">
        <f t="shared" si="3"/>
        <v>0</v>
      </c>
      <c r="J20" s="204">
        <f t="shared" si="3"/>
        <v>0</v>
      </c>
      <c r="K20" s="204">
        <f t="shared" si="3"/>
        <v>0</v>
      </c>
      <c r="L20" s="204">
        <f t="shared" si="3"/>
        <v>0</v>
      </c>
      <c r="N20" s="309"/>
    </row>
    <row r="21" spans="2:15" x14ac:dyDescent="0.3">
      <c r="B21" s="48" t="s">
        <v>555</v>
      </c>
      <c r="C21" s="18" t="s">
        <v>102</v>
      </c>
      <c r="D21" s="394">
        <f t="shared" ref="D21:L21" si="4">SUM(D22:D24)</f>
        <v>0</v>
      </c>
      <c r="E21" s="394">
        <f t="shared" si="4"/>
        <v>0</v>
      </c>
      <c r="F21" s="394">
        <f t="shared" si="4"/>
        <v>0</v>
      </c>
      <c r="G21" s="394">
        <f t="shared" si="4"/>
        <v>0</v>
      </c>
      <c r="H21" s="394">
        <f t="shared" si="4"/>
        <v>0</v>
      </c>
      <c r="I21" s="394">
        <f t="shared" si="4"/>
        <v>0</v>
      </c>
      <c r="J21" s="394">
        <f t="shared" si="4"/>
        <v>0</v>
      </c>
      <c r="K21" s="394">
        <f t="shared" si="4"/>
        <v>0</v>
      </c>
      <c r="L21" s="394">
        <f t="shared" si="4"/>
        <v>0</v>
      </c>
      <c r="N21" s="310"/>
    </row>
    <row r="22" spans="2:15" x14ac:dyDescent="0.3">
      <c r="B22" s="48" t="s">
        <v>556</v>
      </c>
      <c r="C22" s="18" t="s">
        <v>612</v>
      </c>
      <c r="D22" s="346"/>
      <c r="E22" s="346"/>
      <c r="F22" s="346"/>
      <c r="G22" s="346"/>
      <c r="H22" s="346"/>
      <c r="I22" s="346"/>
      <c r="J22" s="346"/>
      <c r="K22" s="346"/>
      <c r="L22" s="346"/>
      <c r="N22" s="309"/>
    </row>
    <row r="23" spans="2:15" x14ac:dyDescent="0.3">
      <c r="B23" s="48" t="s">
        <v>557</v>
      </c>
      <c r="C23" s="18" t="s">
        <v>613</v>
      </c>
      <c r="D23" s="346"/>
      <c r="E23" s="346"/>
      <c r="F23" s="346"/>
      <c r="G23" s="346"/>
      <c r="H23" s="346"/>
      <c r="I23" s="346"/>
      <c r="J23" s="346"/>
      <c r="K23" s="346"/>
      <c r="L23" s="346"/>
      <c r="N23" s="309"/>
    </row>
    <row r="24" spans="2:15" x14ac:dyDescent="0.3">
      <c r="B24" s="48" t="s">
        <v>558</v>
      </c>
      <c r="C24" s="18" t="s">
        <v>614</v>
      </c>
      <c r="D24" s="346"/>
      <c r="E24" s="346"/>
      <c r="F24" s="346"/>
      <c r="G24" s="346"/>
      <c r="H24" s="346"/>
      <c r="I24" s="346"/>
      <c r="J24" s="346"/>
      <c r="K24" s="346"/>
      <c r="L24" s="346"/>
      <c r="M24" s="46"/>
      <c r="N24" s="310"/>
    </row>
    <row r="25" spans="2:15" x14ac:dyDescent="0.3">
      <c r="B25" s="48" t="s">
        <v>559</v>
      </c>
      <c r="C25" s="18" t="s">
        <v>103</v>
      </c>
      <c r="D25" s="394">
        <f t="shared" ref="D25:L25" si="5">SUM(D26:D27)</f>
        <v>0</v>
      </c>
      <c r="E25" s="394">
        <f t="shared" si="5"/>
        <v>0</v>
      </c>
      <c r="F25" s="394">
        <f t="shared" si="5"/>
        <v>0</v>
      </c>
      <c r="G25" s="394">
        <f t="shared" si="5"/>
        <v>0</v>
      </c>
      <c r="H25" s="394">
        <f t="shared" si="5"/>
        <v>0</v>
      </c>
      <c r="I25" s="394">
        <f t="shared" si="5"/>
        <v>0</v>
      </c>
      <c r="J25" s="394">
        <f t="shared" si="5"/>
        <v>0</v>
      </c>
      <c r="K25" s="394">
        <f t="shared" si="5"/>
        <v>0</v>
      </c>
      <c r="L25" s="394">
        <f t="shared" si="5"/>
        <v>0</v>
      </c>
      <c r="N25" s="309"/>
    </row>
    <row r="26" spans="2:15" x14ac:dyDescent="0.3">
      <c r="B26" s="48" t="s">
        <v>560</v>
      </c>
      <c r="C26" s="18" t="s">
        <v>104</v>
      </c>
      <c r="D26" s="351"/>
      <c r="E26" s="346"/>
      <c r="F26" s="346"/>
      <c r="G26" s="346"/>
      <c r="H26" s="346"/>
      <c r="I26" s="346"/>
      <c r="J26" s="346"/>
      <c r="K26" s="346"/>
      <c r="L26" s="346"/>
      <c r="N26" s="309"/>
      <c r="O26" s="108"/>
    </row>
    <row r="27" spans="2:15" x14ac:dyDescent="0.3">
      <c r="B27" s="48" t="s">
        <v>561</v>
      </c>
      <c r="C27" s="18" t="s">
        <v>105</v>
      </c>
      <c r="D27" s="351"/>
      <c r="E27" s="346"/>
      <c r="F27" s="346"/>
      <c r="G27" s="346"/>
      <c r="H27" s="346"/>
      <c r="I27" s="346"/>
      <c r="J27" s="346"/>
      <c r="K27" s="346"/>
      <c r="L27" s="346"/>
      <c r="N27" s="309"/>
    </row>
    <row r="28" spans="2:15" x14ac:dyDescent="0.3">
      <c r="B28" s="48" t="s">
        <v>562</v>
      </c>
      <c r="C28" s="18" t="s">
        <v>106</v>
      </c>
      <c r="D28" s="351"/>
      <c r="E28" s="346"/>
      <c r="F28" s="346"/>
      <c r="G28" s="346"/>
      <c r="H28" s="346"/>
      <c r="I28" s="346"/>
      <c r="J28" s="346"/>
      <c r="K28" s="346"/>
      <c r="L28" s="346"/>
      <c r="M28" s="47"/>
      <c r="N28" s="309"/>
    </row>
    <row r="29" spans="2:15" x14ac:dyDescent="0.3">
      <c r="B29" s="48" t="s">
        <v>563</v>
      </c>
      <c r="C29" s="18" t="s">
        <v>107</v>
      </c>
      <c r="D29" s="351"/>
      <c r="E29" s="391">
        <f>+'9.3_nvo'!E49</f>
        <v>0</v>
      </c>
      <c r="F29" s="391">
        <f>+'9.3_nvo'!F49</f>
        <v>0</v>
      </c>
      <c r="G29" s="391">
        <f>+'9.3_nvo'!G49</f>
        <v>0</v>
      </c>
      <c r="H29" s="391">
        <f>+'9.3_nvo'!H49</f>
        <v>0</v>
      </c>
      <c r="I29" s="391">
        <f>+'9.3_nvo'!I49</f>
        <v>0</v>
      </c>
      <c r="J29" s="391">
        <f>+'9.3_nvo'!J49</f>
        <v>0</v>
      </c>
      <c r="K29" s="391">
        <f>+'9.3_nvo'!K49</f>
        <v>0</v>
      </c>
      <c r="L29" s="391">
        <f>+'9.3_nvo'!L49</f>
        <v>0</v>
      </c>
      <c r="M29" s="47"/>
      <c r="N29" s="267" t="str">
        <f>IF(COUNTIFS(D29:L29,"&lt;0")&gt;0,"Klaida! Pinigų likutis negali būti neigiamas!","ok")</f>
        <v>ok</v>
      </c>
    </row>
    <row r="30" spans="2:15" ht="22.8" x14ac:dyDescent="0.3">
      <c r="B30" s="127" t="s">
        <v>108</v>
      </c>
      <c r="C30" s="128" t="s">
        <v>109</v>
      </c>
      <c r="D30" s="356"/>
      <c r="E30" s="357"/>
      <c r="F30" s="357"/>
      <c r="G30" s="357"/>
      <c r="H30" s="357"/>
      <c r="I30" s="357"/>
      <c r="J30" s="357"/>
      <c r="K30" s="357"/>
      <c r="L30" s="357"/>
      <c r="M30" s="47"/>
      <c r="N30" s="267" t="str">
        <f>IF(ABS(D29-'9.3_nvo'!D49)&gt;1,"Klaida! Ataskaitiniais metais pinigų likutis balanse ir pinigų srautų ataskaitoje nesutampa","ok")</f>
        <v>ok</v>
      </c>
    </row>
    <row r="31" spans="2:15" s="5" customFormat="1" ht="14.7" customHeight="1" thickBot="1" x14ac:dyDescent="0.35">
      <c r="B31" s="212"/>
      <c r="C31" s="212" t="s">
        <v>110</v>
      </c>
      <c r="D31" s="178">
        <f t="shared" ref="D31:L31" si="6">SUM(D8,D20,D30)</f>
        <v>0</v>
      </c>
      <c r="E31" s="178">
        <f t="shared" si="6"/>
        <v>0</v>
      </c>
      <c r="F31" s="178">
        <f t="shared" si="6"/>
        <v>0</v>
      </c>
      <c r="G31" s="178">
        <f t="shared" si="6"/>
        <v>0</v>
      </c>
      <c r="H31" s="178">
        <f t="shared" si="6"/>
        <v>0</v>
      </c>
      <c r="I31" s="178">
        <f t="shared" si="6"/>
        <v>0</v>
      </c>
      <c r="J31" s="178">
        <f t="shared" si="6"/>
        <v>0</v>
      </c>
      <c r="K31" s="178">
        <f t="shared" si="6"/>
        <v>0</v>
      </c>
      <c r="L31" s="178">
        <f t="shared" si="6"/>
        <v>0</v>
      </c>
      <c r="M31" s="47"/>
      <c r="N31" s="309"/>
    </row>
    <row r="32" spans="2:15" ht="14.4" thickTop="1" x14ac:dyDescent="0.3">
      <c r="B32" s="40"/>
      <c r="C32" s="40"/>
      <c r="D32" s="414"/>
      <c r="E32" s="414"/>
      <c r="F32" s="414"/>
      <c r="G32" s="414"/>
      <c r="H32" s="414"/>
      <c r="I32" s="414"/>
      <c r="J32" s="414"/>
      <c r="K32" s="414"/>
      <c r="L32" s="414"/>
      <c r="M32" s="47"/>
      <c r="N32" s="309"/>
    </row>
    <row r="33" spans="2:14" ht="22.8" x14ac:dyDescent="0.3">
      <c r="B33" s="170"/>
      <c r="C33" s="128" t="s">
        <v>111</v>
      </c>
      <c r="D33" s="171"/>
      <c r="E33" s="171"/>
      <c r="F33" s="171"/>
      <c r="G33" s="171"/>
      <c r="H33" s="171"/>
      <c r="I33" s="171"/>
      <c r="J33" s="171"/>
      <c r="K33" s="171"/>
      <c r="L33" s="171"/>
      <c r="M33" s="47"/>
      <c r="N33" s="309"/>
    </row>
    <row r="34" spans="2:14" x14ac:dyDescent="0.3">
      <c r="B34" s="127" t="s">
        <v>112</v>
      </c>
      <c r="C34" s="172" t="s">
        <v>113</v>
      </c>
      <c r="D34" s="207">
        <f>SUM(D35:D38)</f>
        <v>0</v>
      </c>
      <c r="E34" s="207">
        <f t="shared" ref="E34:L34" si="7">SUM(E35:E38)</f>
        <v>0</v>
      </c>
      <c r="F34" s="207">
        <f t="shared" si="7"/>
        <v>0</v>
      </c>
      <c r="G34" s="207">
        <f t="shared" si="7"/>
        <v>0</v>
      </c>
      <c r="H34" s="207">
        <f t="shared" si="7"/>
        <v>0</v>
      </c>
      <c r="I34" s="207">
        <f t="shared" si="7"/>
        <v>0</v>
      </c>
      <c r="J34" s="207">
        <f t="shared" si="7"/>
        <v>0</v>
      </c>
      <c r="K34" s="207">
        <f t="shared" si="7"/>
        <v>0</v>
      </c>
      <c r="L34" s="207">
        <f t="shared" si="7"/>
        <v>0</v>
      </c>
      <c r="M34" s="47"/>
      <c r="N34" s="309"/>
    </row>
    <row r="35" spans="2:14" x14ac:dyDescent="0.3">
      <c r="B35" s="48" t="s">
        <v>564</v>
      </c>
      <c r="C35" s="18" t="s">
        <v>732</v>
      </c>
      <c r="D35" s="416">
        <f>+D31-D41-D38-D49-D60-D36-D37</f>
        <v>0</v>
      </c>
      <c r="E35" s="394">
        <f>+D35+'9.3_nvo'!E42</f>
        <v>0</v>
      </c>
      <c r="F35" s="394">
        <f>+E35+'9.3_nvo'!J42</f>
        <v>0</v>
      </c>
      <c r="G35" s="394">
        <f>+F35+'9.3_nvo'!K42</f>
        <v>0</v>
      </c>
      <c r="H35" s="394">
        <f>+G35+'9.3_nvo'!L42</f>
        <v>0</v>
      </c>
      <c r="I35" s="394">
        <f>+H35+'9.3_nvo'!M42</f>
        <v>0</v>
      </c>
      <c r="J35" s="394">
        <f>+I35+'9.3_nvo'!N42</f>
        <v>0</v>
      </c>
      <c r="K35" s="394">
        <f>+J35+'9.3_nvo'!O42</f>
        <v>0</v>
      </c>
      <c r="L35" s="394">
        <f>+K35+'9.3_nvo'!P42</f>
        <v>0</v>
      </c>
      <c r="M35" s="47"/>
      <c r="N35" s="309" t="s">
        <v>829</v>
      </c>
    </row>
    <row r="36" spans="2:14" x14ac:dyDescent="0.3">
      <c r="B36" s="48" t="s">
        <v>565</v>
      </c>
      <c r="C36" s="18" t="s">
        <v>115</v>
      </c>
      <c r="D36" s="346"/>
      <c r="E36" s="391">
        <f>+D36</f>
        <v>0</v>
      </c>
      <c r="F36" s="391">
        <f t="shared" ref="F36:L36" si="8">+E36</f>
        <v>0</v>
      </c>
      <c r="G36" s="391">
        <f t="shared" si="8"/>
        <v>0</v>
      </c>
      <c r="H36" s="391">
        <f t="shared" si="8"/>
        <v>0</v>
      </c>
      <c r="I36" s="391">
        <f t="shared" si="8"/>
        <v>0</v>
      </c>
      <c r="J36" s="391">
        <f t="shared" si="8"/>
        <v>0</v>
      </c>
      <c r="K36" s="391">
        <f t="shared" si="8"/>
        <v>0</v>
      </c>
      <c r="L36" s="391">
        <f t="shared" si="8"/>
        <v>0</v>
      </c>
      <c r="N36" s="309" t="s">
        <v>827</v>
      </c>
    </row>
    <row r="37" spans="2:14" x14ac:dyDescent="0.3">
      <c r="B37" s="48" t="s">
        <v>566</v>
      </c>
      <c r="C37" s="18" t="s">
        <v>735</v>
      </c>
      <c r="D37" s="346"/>
      <c r="E37" s="391">
        <f>+D37</f>
        <v>0</v>
      </c>
      <c r="F37" s="391">
        <f t="shared" ref="F37:L37" si="9">+E37</f>
        <v>0</v>
      </c>
      <c r="G37" s="391">
        <f t="shared" si="9"/>
        <v>0</v>
      </c>
      <c r="H37" s="391">
        <f t="shared" si="9"/>
        <v>0</v>
      </c>
      <c r="I37" s="391">
        <f t="shared" si="9"/>
        <v>0</v>
      </c>
      <c r="J37" s="391">
        <f t="shared" si="9"/>
        <v>0</v>
      </c>
      <c r="K37" s="391">
        <f t="shared" si="9"/>
        <v>0</v>
      </c>
      <c r="L37" s="391">
        <f t="shared" si="9"/>
        <v>0</v>
      </c>
      <c r="N37" s="309" t="s">
        <v>827</v>
      </c>
    </row>
    <row r="38" spans="2:14" x14ac:dyDescent="0.3">
      <c r="B38" s="48" t="s">
        <v>567</v>
      </c>
      <c r="C38" s="18" t="s">
        <v>734</v>
      </c>
      <c r="D38" s="391">
        <f>SUM(D39:D40)</f>
        <v>0</v>
      </c>
      <c r="E38" s="391">
        <f>SUM(E39:E40)</f>
        <v>0</v>
      </c>
      <c r="F38" s="391">
        <f t="shared" ref="F38:L38" si="10">SUM(F39:F40)</f>
        <v>0</v>
      </c>
      <c r="G38" s="391">
        <f t="shared" si="10"/>
        <v>0</v>
      </c>
      <c r="H38" s="391">
        <f t="shared" si="10"/>
        <v>0</v>
      </c>
      <c r="I38" s="391">
        <f t="shared" si="10"/>
        <v>0</v>
      </c>
      <c r="J38" s="391">
        <f t="shared" si="10"/>
        <v>0</v>
      </c>
      <c r="K38" s="391">
        <f t="shared" si="10"/>
        <v>0</v>
      </c>
      <c r="L38" s="391">
        <f t="shared" si="10"/>
        <v>0</v>
      </c>
      <c r="N38" s="309"/>
    </row>
    <row r="39" spans="2:14" x14ac:dyDescent="0.3">
      <c r="B39" s="48" t="s">
        <v>807</v>
      </c>
      <c r="C39" s="18" t="s">
        <v>615</v>
      </c>
      <c r="D39" s="416">
        <f>'9.2_nvo'!D27</f>
        <v>0</v>
      </c>
      <c r="E39" s="391">
        <f>'9.2_nvo'!E27</f>
        <v>0</v>
      </c>
      <c r="F39" s="391">
        <f>'9.2_nvo'!J27</f>
        <v>0</v>
      </c>
      <c r="G39" s="391">
        <f>'9.2_nvo'!K27</f>
        <v>0</v>
      </c>
      <c r="H39" s="391">
        <f>'9.2_nvo'!L27</f>
        <v>0</v>
      </c>
      <c r="I39" s="391">
        <f>'9.2_nvo'!M27</f>
        <v>0</v>
      </c>
      <c r="J39" s="391">
        <f>'9.2_nvo'!N27</f>
        <v>0</v>
      </c>
      <c r="K39" s="391">
        <f>'9.2_nvo'!O27</f>
        <v>0</v>
      </c>
      <c r="L39" s="391">
        <f>'9.2_nvo'!P27</f>
        <v>0</v>
      </c>
      <c r="N39" s="309" t="s">
        <v>829</v>
      </c>
    </row>
    <row r="40" spans="2:14" x14ac:dyDescent="0.3">
      <c r="B40" s="48" t="s">
        <v>808</v>
      </c>
      <c r="C40" s="18" t="s">
        <v>616</v>
      </c>
      <c r="D40" s="346"/>
      <c r="E40" s="391">
        <f>D38</f>
        <v>0</v>
      </c>
      <c r="F40" s="391">
        <f t="shared" ref="F40:L40" si="11">E38</f>
        <v>0</v>
      </c>
      <c r="G40" s="391">
        <f t="shared" si="11"/>
        <v>0</v>
      </c>
      <c r="H40" s="391">
        <f t="shared" si="11"/>
        <v>0</v>
      </c>
      <c r="I40" s="391">
        <f t="shared" si="11"/>
        <v>0</v>
      </c>
      <c r="J40" s="391">
        <f t="shared" si="11"/>
        <v>0</v>
      </c>
      <c r="K40" s="391">
        <f t="shared" si="11"/>
        <v>0</v>
      </c>
      <c r="L40" s="391">
        <f t="shared" si="11"/>
        <v>0</v>
      </c>
      <c r="N40" s="309"/>
    </row>
    <row r="41" spans="2:14" x14ac:dyDescent="0.3">
      <c r="B41" s="127" t="s">
        <v>117</v>
      </c>
      <c r="C41" s="128" t="s">
        <v>617</v>
      </c>
      <c r="D41" s="203">
        <f t="shared" ref="D41:L41" si="12">SUM(D42:D43,D47:D48)</f>
        <v>0</v>
      </c>
      <c r="E41" s="203">
        <f t="shared" si="12"/>
        <v>0</v>
      </c>
      <c r="F41" s="203">
        <f t="shared" si="12"/>
        <v>0</v>
      </c>
      <c r="G41" s="203">
        <f t="shared" si="12"/>
        <v>0</v>
      </c>
      <c r="H41" s="203">
        <f t="shared" si="12"/>
        <v>0</v>
      </c>
      <c r="I41" s="203">
        <f t="shared" si="12"/>
        <v>0</v>
      </c>
      <c r="J41" s="203">
        <f t="shared" si="12"/>
        <v>0</v>
      </c>
      <c r="K41" s="203">
        <f t="shared" si="12"/>
        <v>0</v>
      </c>
      <c r="L41" s="203">
        <f t="shared" si="12"/>
        <v>0</v>
      </c>
      <c r="M41" s="47"/>
      <c r="N41" s="309"/>
    </row>
    <row r="42" spans="2:14" x14ac:dyDescent="0.3">
      <c r="B42" s="48" t="s">
        <v>568</v>
      </c>
      <c r="C42" s="18" t="s">
        <v>770</v>
      </c>
      <c r="D42" s="346"/>
      <c r="E42" s="346"/>
      <c r="F42" s="346"/>
      <c r="G42" s="346"/>
      <c r="H42" s="346"/>
      <c r="I42" s="346"/>
      <c r="J42" s="346"/>
      <c r="K42" s="346"/>
      <c r="L42" s="346"/>
      <c r="M42" s="47"/>
      <c r="N42" s="309" t="s">
        <v>830</v>
      </c>
    </row>
    <row r="43" spans="2:14" x14ac:dyDescent="0.3">
      <c r="B43" s="48" t="s">
        <v>569</v>
      </c>
      <c r="C43" s="18" t="s">
        <v>618</v>
      </c>
      <c r="D43" s="391">
        <f>SUM(D44:D46)</f>
        <v>0</v>
      </c>
      <c r="E43" s="391">
        <f t="shared" ref="E43:L43" si="13">SUM(E44:E46)</f>
        <v>0</v>
      </c>
      <c r="F43" s="391">
        <f t="shared" si="13"/>
        <v>0</v>
      </c>
      <c r="G43" s="391">
        <f t="shared" si="13"/>
        <v>0</v>
      </c>
      <c r="H43" s="391">
        <f t="shared" si="13"/>
        <v>0</v>
      </c>
      <c r="I43" s="391">
        <f t="shared" si="13"/>
        <v>0</v>
      </c>
      <c r="J43" s="391">
        <f t="shared" si="13"/>
        <v>0</v>
      </c>
      <c r="K43" s="391">
        <f t="shared" si="13"/>
        <v>0</v>
      </c>
      <c r="L43" s="391">
        <f t="shared" si="13"/>
        <v>0</v>
      </c>
      <c r="M43" s="47"/>
      <c r="N43" s="267"/>
    </row>
    <row r="44" spans="2:14" ht="36" x14ac:dyDescent="0.3">
      <c r="B44" s="48" t="s">
        <v>570</v>
      </c>
      <c r="C44" s="18" t="s">
        <v>773</v>
      </c>
      <c r="D44" s="346"/>
      <c r="E44" s="346"/>
      <c r="F44" s="346"/>
      <c r="G44" s="346"/>
      <c r="H44" s="346"/>
      <c r="I44" s="346"/>
      <c r="J44" s="346"/>
      <c r="K44" s="346"/>
      <c r="L44" s="346"/>
      <c r="M44" s="47"/>
      <c r="N44" s="267"/>
    </row>
    <row r="45" spans="2:14" ht="24" x14ac:dyDescent="0.3">
      <c r="B45" s="48" t="s">
        <v>571</v>
      </c>
      <c r="C45" s="18" t="s">
        <v>772</v>
      </c>
      <c r="D45" s="346"/>
      <c r="E45" s="391">
        <f>D45+'9.3_nvo'!E40+'7'!D13</f>
        <v>0</v>
      </c>
      <c r="F45" s="391">
        <f>E45+'9.3_nvo'!F40+'7'!E13</f>
        <v>0</v>
      </c>
      <c r="G45" s="391">
        <f>F45+'9.3_nvo'!G40+'7'!F13</f>
        <v>0</v>
      </c>
      <c r="H45" s="391">
        <f>G45+'9.3_nvo'!H40+'7'!G13</f>
        <v>0</v>
      </c>
      <c r="I45" s="391">
        <f>H45+'9.3_nvo'!I40+'7'!H13</f>
        <v>0</v>
      </c>
      <c r="J45" s="391">
        <f>I45+'9.3_nvo'!J40+'7'!I13</f>
        <v>0</v>
      </c>
      <c r="K45" s="391">
        <f>J45+'9.3_nvo'!K40+'7'!J13</f>
        <v>0</v>
      </c>
      <c r="L45" s="391">
        <f>K45+'9.3_nvo'!L40+'7'!K13</f>
        <v>0</v>
      </c>
      <c r="M45" s="47"/>
      <c r="N45" s="267" t="str">
        <f>IF(COUNTIFS(D45:L45,"&lt;0")&gt;1,"Klaida! Dotacijų likutis negali būti neigiamas!","ok")</f>
        <v>ok</v>
      </c>
    </row>
    <row r="46" spans="2:14" x14ac:dyDescent="0.3">
      <c r="B46" s="48" t="s">
        <v>572</v>
      </c>
      <c r="C46" s="18" t="s">
        <v>620</v>
      </c>
      <c r="D46" s="346"/>
      <c r="E46" s="197"/>
      <c r="F46" s="197"/>
      <c r="G46" s="197"/>
      <c r="H46" s="197"/>
      <c r="I46" s="197"/>
      <c r="J46" s="197"/>
      <c r="K46" s="197"/>
      <c r="L46" s="197"/>
      <c r="M46" s="47"/>
      <c r="N46" s="267" t="s">
        <v>442</v>
      </c>
    </row>
    <row r="47" spans="2:14" x14ac:dyDescent="0.3">
      <c r="B47" s="48" t="s">
        <v>579</v>
      </c>
      <c r="C47" s="18" t="s">
        <v>621</v>
      </c>
      <c r="D47" s="346"/>
      <c r="E47" s="346"/>
      <c r="F47" s="346"/>
      <c r="G47" s="346"/>
      <c r="H47" s="346"/>
      <c r="I47" s="346"/>
      <c r="J47" s="346"/>
      <c r="K47" s="346"/>
      <c r="L47" s="346"/>
      <c r="M47" s="47"/>
      <c r="N47" s="267" t="s">
        <v>820</v>
      </c>
    </row>
    <row r="48" spans="2:14" x14ac:dyDescent="0.3">
      <c r="B48" s="48" t="s">
        <v>809</v>
      </c>
      <c r="C48" s="18" t="s">
        <v>622</v>
      </c>
      <c r="D48" s="346"/>
      <c r="E48" s="197"/>
      <c r="F48" s="197"/>
      <c r="G48" s="197"/>
      <c r="H48" s="197"/>
      <c r="I48" s="197"/>
      <c r="J48" s="197"/>
      <c r="K48" s="197"/>
      <c r="L48" s="197"/>
      <c r="M48" s="47"/>
      <c r="N48" s="267" t="s">
        <v>442</v>
      </c>
    </row>
    <row r="49" spans="2:14" ht="22.8" x14ac:dyDescent="0.3">
      <c r="B49" s="127" t="s">
        <v>118</v>
      </c>
      <c r="C49" s="128" t="s">
        <v>119</v>
      </c>
      <c r="D49" s="203">
        <f t="shared" ref="D49:L49" si="14">SUM(D50,D53)</f>
        <v>0</v>
      </c>
      <c r="E49" s="203">
        <f t="shared" si="14"/>
        <v>0</v>
      </c>
      <c r="F49" s="203">
        <f t="shared" si="14"/>
        <v>0</v>
      </c>
      <c r="G49" s="203">
        <f t="shared" si="14"/>
        <v>0</v>
      </c>
      <c r="H49" s="203">
        <f t="shared" si="14"/>
        <v>0</v>
      </c>
      <c r="I49" s="203">
        <f t="shared" si="14"/>
        <v>0</v>
      </c>
      <c r="J49" s="203">
        <f t="shared" si="14"/>
        <v>0</v>
      </c>
      <c r="K49" s="203">
        <f t="shared" si="14"/>
        <v>0</v>
      </c>
      <c r="L49" s="203">
        <f t="shared" si="14"/>
        <v>0</v>
      </c>
      <c r="N49" s="309"/>
    </row>
    <row r="50" spans="2:14" x14ac:dyDescent="0.3">
      <c r="B50" s="48" t="s">
        <v>810</v>
      </c>
      <c r="C50" s="18" t="s">
        <v>623</v>
      </c>
      <c r="D50" s="391">
        <f t="shared" ref="D50:L50" si="15">SUM(D51:D52)</f>
        <v>0</v>
      </c>
      <c r="E50" s="391">
        <f t="shared" si="15"/>
        <v>0</v>
      </c>
      <c r="F50" s="391">
        <f t="shared" si="15"/>
        <v>0</v>
      </c>
      <c r="G50" s="391">
        <f t="shared" si="15"/>
        <v>0</v>
      </c>
      <c r="H50" s="391">
        <f t="shared" si="15"/>
        <v>0</v>
      </c>
      <c r="I50" s="391">
        <f t="shared" si="15"/>
        <v>0</v>
      </c>
      <c r="J50" s="391">
        <f t="shared" si="15"/>
        <v>0</v>
      </c>
      <c r="K50" s="391">
        <f t="shared" si="15"/>
        <v>0</v>
      </c>
      <c r="L50" s="391">
        <f t="shared" si="15"/>
        <v>0</v>
      </c>
      <c r="M50" s="47"/>
      <c r="N50" s="309"/>
    </row>
    <row r="51" spans="2:14" x14ac:dyDescent="0.3">
      <c r="B51" s="48" t="s">
        <v>811</v>
      </c>
      <c r="C51" s="18" t="s">
        <v>624</v>
      </c>
      <c r="D51" s="391">
        <f>'8'!D17+'8'!D19-'8'!D21-'8'!D24  +  '8'!D33-'8'!D34</f>
        <v>0</v>
      </c>
      <c r="E51" s="391">
        <f>'8'!E17+'8'!E19-'8'!E21-'8'!E24  +  '8'!E33-'8'!E34</f>
        <v>0</v>
      </c>
      <c r="F51" s="391">
        <f>'8'!F17+'8'!F19-'8'!F21-'8'!F24  +  '8'!F33-'8'!F34</f>
        <v>0</v>
      </c>
      <c r="G51" s="391">
        <f>'8'!G17+'8'!G19-'8'!G21-'8'!G24  +  '8'!G33-'8'!G34</f>
        <v>0</v>
      </c>
      <c r="H51" s="391">
        <f>'8'!H17+'8'!H19-'8'!H21-'8'!H24  +  '8'!H33-'8'!H34</f>
        <v>0</v>
      </c>
      <c r="I51" s="391">
        <f>'8'!I17+'8'!I19-'8'!I21-'8'!I24  +  '8'!I33-'8'!I34</f>
        <v>0</v>
      </c>
      <c r="J51" s="391">
        <f>'8'!J17+'8'!J19-'8'!J21-'8'!J24  +  '8'!J33-'8'!J34</f>
        <v>0</v>
      </c>
      <c r="K51" s="391">
        <f>'8'!K17+'8'!K19-'8'!K21-'8'!K24  +  '8'!K33-'8'!K34</f>
        <v>0</v>
      </c>
      <c r="L51" s="391">
        <f>'8'!L17+'8'!L19-'8'!L21-'8'!L24  +  '8'!L33-'8'!L34</f>
        <v>0</v>
      </c>
      <c r="M51" s="47"/>
      <c r="N51" s="310"/>
    </row>
    <row r="52" spans="2:14" x14ac:dyDescent="0.3">
      <c r="B52" s="48" t="s">
        <v>812</v>
      </c>
      <c r="C52" s="18" t="s">
        <v>625</v>
      </c>
      <c r="D52" s="346"/>
      <c r="E52" s="346"/>
      <c r="F52" s="346"/>
      <c r="G52" s="346"/>
      <c r="H52" s="346"/>
      <c r="I52" s="346"/>
      <c r="J52" s="346"/>
      <c r="K52" s="346"/>
      <c r="L52" s="346"/>
      <c r="M52" s="118"/>
      <c r="N52" s="309"/>
    </row>
    <row r="53" spans="2:14" x14ac:dyDescent="0.3">
      <c r="B53" s="48" t="s">
        <v>813</v>
      </c>
      <c r="C53" s="18" t="s">
        <v>626</v>
      </c>
      <c r="D53" s="391">
        <f t="shared" ref="D53:L53" si="16">SUM(D54:D59)</f>
        <v>0</v>
      </c>
      <c r="E53" s="391">
        <f t="shared" si="16"/>
        <v>0</v>
      </c>
      <c r="F53" s="391">
        <f t="shared" si="16"/>
        <v>0</v>
      </c>
      <c r="G53" s="391">
        <f t="shared" si="16"/>
        <v>0</v>
      </c>
      <c r="H53" s="391">
        <f t="shared" si="16"/>
        <v>0</v>
      </c>
      <c r="I53" s="391">
        <f t="shared" si="16"/>
        <v>0</v>
      </c>
      <c r="J53" s="391">
        <f t="shared" si="16"/>
        <v>0</v>
      </c>
      <c r="K53" s="391">
        <f t="shared" si="16"/>
        <v>0</v>
      </c>
      <c r="L53" s="391">
        <f t="shared" si="16"/>
        <v>0</v>
      </c>
      <c r="N53" s="309"/>
    </row>
    <row r="54" spans="2:14" x14ac:dyDescent="0.3">
      <c r="B54" s="48" t="s">
        <v>814</v>
      </c>
      <c r="C54" s="18" t="s">
        <v>646</v>
      </c>
      <c r="D54" s="391">
        <f>'8'!D24+'8'!D34</f>
        <v>0</v>
      </c>
      <c r="E54" s="391">
        <f>'8'!E24+'8'!E34</f>
        <v>0</v>
      </c>
      <c r="F54" s="391">
        <f>'8'!F24+'8'!F34</f>
        <v>0</v>
      </c>
      <c r="G54" s="391">
        <f>'8'!G24+'8'!G34</f>
        <v>0</v>
      </c>
      <c r="H54" s="391">
        <f>'8'!H24+'8'!H34</f>
        <v>0</v>
      </c>
      <c r="I54" s="391">
        <f>'8'!I24+'8'!I34</f>
        <v>0</v>
      </c>
      <c r="J54" s="391">
        <f>'8'!J24+'8'!J34</f>
        <v>0</v>
      </c>
      <c r="K54" s="391">
        <f>'8'!K24+'8'!K34</f>
        <v>0</v>
      </c>
      <c r="L54" s="391">
        <f>'8'!L24+'8'!L34</f>
        <v>0</v>
      </c>
      <c r="M54" s="49"/>
      <c r="N54" s="309"/>
    </row>
    <row r="55" spans="2:14" x14ac:dyDescent="0.3">
      <c r="B55" s="48" t="s">
        <v>815</v>
      </c>
      <c r="C55" s="18" t="s">
        <v>624</v>
      </c>
      <c r="D55" s="391">
        <f>'8'!D18+'8'!D20-'8'!D22</f>
        <v>0</v>
      </c>
      <c r="E55" s="391">
        <f>'8'!E18+'8'!E20-'8'!E22</f>
        <v>0</v>
      </c>
      <c r="F55" s="391">
        <f>'8'!F18+'8'!F20-'8'!F22</f>
        <v>0</v>
      </c>
      <c r="G55" s="391">
        <f>'8'!G18+'8'!G20-'8'!G22</f>
        <v>0</v>
      </c>
      <c r="H55" s="391">
        <f>'8'!H18+'8'!H20-'8'!H22</f>
        <v>0</v>
      </c>
      <c r="I55" s="391">
        <f>'8'!I18+'8'!I20-'8'!I22</f>
        <v>0</v>
      </c>
      <c r="J55" s="391">
        <f>'8'!J18+'8'!J20-'8'!J22</f>
        <v>0</v>
      </c>
      <c r="K55" s="391">
        <f>'8'!K18+'8'!K20-'8'!K22</f>
        <v>0</v>
      </c>
      <c r="L55" s="391">
        <f>'8'!L18+'8'!L20-'8'!L22</f>
        <v>0</v>
      </c>
      <c r="M55" s="47"/>
      <c r="N55" s="309"/>
    </row>
    <row r="56" spans="2:14" x14ac:dyDescent="0.3">
      <c r="B56" s="48" t="s">
        <v>816</v>
      </c>
      <c r="C56" s="18" t="s">
        <v>120</v>
      </c>
      <c r="D56" s="351"/>
      <c r="E56" s="351"/>
      <c r="F56" s="351"/>
      <c r="G56" s="351"/>
      <c r="H56" s="351"/>
      <c r="I56" s="351"/>
      <c r="J56" s="351"/>
      <c r="K56" s="351"/>
      <c r="L56" s="351"/>
      <c r="N56" s="310"/>
    </row>
    <row r="57" spans="2:14" x14ac:dyDescent="0.3">
      <c r="B57" s="48" t="s">
        <v>817</v>
      </c>
      <c r="C57" s="18" t="s">
        <v>627</v>
      </c>
      <c r="D57" s="351"/>
      <c r="E57" s="351"/>
      <c r="F57" s="351"/>
      <c r="G57" s="351"/>
      <c r="H57" s="351"/>
      <c r="I57" s="351"/>
      <c r="J57" s="351"/>
      <c r="K57" s="351"/>
      <c r="L57" s="351"/>
      <c r="N57" s="309"/>
    </row>
    <row r="58" spans="2:14" x14ac:dyDescent="0.3">
      <c r="B58" s="48" t="s">
        <v>818</v>
      </c>
      <c r="C58" s="18" t="s">
        <v>121</v>
      </c>
      <c r="D58" s="351"/>
      <c r="E58" s="351"/>
      <c r="F58" s="351"/>
      <c r="G58" s="351"/>
      <c r="H58" s="351"/>
      <c r="I58" s="351"/>
      <c r="J58" s="351"/>
      <c r="K58" s="351"/>
      <c r="L58" s="351"/>
      <c r="N58" s="309"/>
    </row>
    <row r="59" spans="2:14" x14ac:dyDescent="0.3">
      <c r="B59" s="48" t="s">
        <v>819</v>
      </c>
      <c r="C59" s="18" t="s">
        <v>628</v>
      </c>
      <c r="D59" s="351"/>
      <c r="E59" s="351"/>
      <c r="F59" s="351"/>
      <c r="G59" s="351"/>
      <c r="H59" s="351"/>
      <c r="I59" s="351"/>
      <c r="J59" s="351"/>
      <c r="K59" s="351"/>
      <c r="L59" s="351"/>
      <c r="N59" s="309"/>
    </row>
    <row r="60" spans="2:14" ht="34.200000000000003" x14ac:dyDescent="0.3">
      <c r="B60" s="127" t="s">
        <v>122</v>
      </c>
      <c r="C60" s="128" t="s">
        <v>123</v>
      </c>
      <c r="D60" s="356"/>
      <c r="E60" s="356"/>
      <c r="F60" s="356"/>
      <c r="G60" s="356"/>
      <c r="H60" s="356"/>
      <c r="I60" s="356"/>
      <c r="J60" s="356"/>
      <c r="K60" s="356"/>
      <c r="L60" s="356"/>
      <c r="N60" s="310"/>
    </row>
    <row r="61" spans="2:14" s="51" customFormat="1" ht="23.25" customHeight="1" x14ac:dyDescent="0.3">
      <c r="B61" s="211"/>
      <c r="C61" s="211" t="s">
        <v>434</v>
      </c>
      <c r="D61" s="179">
        <f t="shared" ref="D61:L61" si="17">SUM(D34,D41,D49,D60)</f>
        <v>0</v>
      </c>
      <c r="E61" s="179">
        <f t="shared" si="17"/>
        <v>0</v>
      </c>
      <c r="F61" s="179">
        <f t="shared" si="17"/>
        <v>0</v>
      </c>
      <c r="G61" s="179">
        <f t="shared" si="17"/>
        <v>0</v>
      </c>
      <c r="H61" s="179">
        <f t="shared" si="17"/>
        <v>0</v>
      </c>
      <c r="I61" s="179">
        <f t="shared" si="17"/>
        <v>0</v>
      </c>
      <c r="J61" s="179">
        <f t="shared" si="17"/>
        <v>0</v>
      </c>
      <c r="K61" s="179">
        <f t="shared" si="17"/>
        <v>0</v>
      </c>
      <c r="L61" s="179">
        <f t="shared" si="17"/>
        <v>0</v>
      </c>
      <c r="M61" s="50"/>
      <c r="N61" s="309"/>
    </row>
  </sheetData>
  <sheetProtection algorithmName="SHA-512" hashValue="u/sZel04wVEEHIzi4bu9ujtVxgh8eRPbdPvtJn36dMdKOrCgETV2i2ougfp9hhFfDgVWsXO1DVq/u1QCph8qDw==" saltValue="u28YZMNKfNu8rx3OvnLaZw==" spinCount="100000" sheet="1" formatRows="0" insertRows="0"/>
  <mergeCells count="3">
    <mergeCell ref="B5:B6"/>
    <mergeCell ref="C5:C6"/>
    <mergeCell ref="E5:L5"/>
  </mergeCells>
  <conditionalFormatting sqref="D35">
    <cfRule type="expression" dxfId="38" priority="6">
      <formula>ABS(D$13)&gt;D$12</formula>
    </cfRule>
  </conditionalFormatting>
  <conditionalFormatting sqref="D39">
    <cfRule type="expression" dxfId="37" priority="1">
      <formula>ABS(D$13)&gt;D$12</formula>
    </cfRule>
  </conditionalFormatting>
  <conditionalFormatting sqref="D56">
    <cfRule type="expression" dxfId="36" priority="4">
      <formula>ABS(D$13)&gt;D$12</formula>
    </cfRule>
  </conditionalFormatting>
  <conditionalFormatting sqref="D2:L2">
    <cfRule type="cellIs" dxfId="35" priority="14" operator="between">
      <formula>0.0001</formula>
      <formula>3</formula>
    </cfRule>
    <cfRule type="cellIs" dxfId="34" priority="15" operator="between">
      <formula>-3</formula>
      <formula>-0.0001</formula>
    </cfRule>
    <cfRule type="cellIs" dxfId="33" priority="16" operator="lessThan">
      <formula>-3</formula>
    </cfRule>
    <cfRule type="cellIs" dxfId="32" priority="17" operator="greaterThan">
      <formula>3</formula>
    </cfRule>
  </conditionalFormatting>
  <conditionalFormatting sqref="D6:L6">
    <cfRule type="expression" dxfId="31" priority="10">
      <formula>D6="-"</formula>
    </cfRule>
  </conditionalFormatting>
  <conditionalFormatting sqref="D41:L41">
    <cfRule type="expression" dxfId="30" priority="12">
      <formula>D41&lt;0</formula>
    </cfRule>
  </conditionalFormatting>
  <conditionalFormatting sqref="E29:L29">
    <cfRule type="expression" dxfId="29" priority="7">
      <formula>E$29&lt;0</formula>
    </cfRule>
  </conditionalFormatting>
  <conditionalFormatting sqref="N2">
    <cfRule type="expression" dxfId="28" priority="2">
      <formula>ISNUMBER(SEARCH("Klaida", N2))</formula>
    </cfRule>
  </conditionalFormatting>
  <conditionalFormatting sqref="N29:N30">
    <cfRule type="expression" dxfId="27" priority="3">
      <formula>ISNUMBER(SEARCH("Klaida", N29))</formula>
    </cfRule>
  </conditionalFormatting>
  <conditionalFormatting sqref="N43:N48">
    <cfRule type="expression" dxfId="26" priority="9">
      <formula>ISNUMBER(SEARCH("Klaida", N43))</formula>
    </cfRule>
  </conditionalFormatting>
  <pageMargins left="0.70866141732283472" right="0.70866141732283472" top="0.74803149606299213" bottom="0.74803149606299213" header="0.31496062992125984" footer="0.31496062992125984"/>
  <pageSetup paperSize="9" pageOrder="overThenDown" orientation="landscape" horizontalDpi="4294967293" verticalDpi="4294967293" r:id="rId1"/>
  <ignoredErrors>
    <ignoredError sqref="D35" unlockedFormula="1"/>
  </ignoredErrors>
  <extLst>
    <ext xmlns:x14="http://schemas.microsoft.com/office/spreadsheetml/2009/9/main" uri="{78C0D931-6437-407d-A8EE-F0AAD7539E65}">
      <x14:conditionalFormattings>
        <x14:conditionalFormatting xmlns:xm="http://schemas.microsoft.com/office/excel/2006/main">
          <x14:cfRule type="expression" priority="11" id="{ECC16C22-C6F5-4EAD-9DA0-3021BDB52D9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F4A0-B304-4B87-BDB4-8E154E4A6DBC}">
  <sheetPr codeName="Lapas17">
    <tabColor theme="9" tint="-0.499984740745262"/>
  </sheetPr>
  <dimension ref="B1:N36"/>
  <sheetViews>
    <sheetView topLeftCell="B1" zoomScale="120" zoomScaleNormal="120" workbookViewId="0">
      <pane xSplit="2" ySplit="6" topLeftCell="D27" activePane="bottomRight" state="frozen"/>
      <selection activeCell="J29" sqref="J29"/>
      <selection pane="topRight" activeCell="J29" sqref="J29"/>
      <selection pane="bottomLeft" activeCell="J29" sqref="J29"/>
      <selection pane="bottomRight" activeCell="D30" sqref="D30:L30"/>
    </sheetView>
  </sheetViews>
  <sheetFormatPr defaultColWidth="8.6640625" defaultRowHeight="13.8" x14ac:dyDescent="0.3"/>
  <cols>
    <col min="1" max="1" width="0" style="3" hidden="1" customWidth="1"/>
    <col min="2" max="2" width="5.88671875" style="3" customWidth="1"/>
    <col min="3" max="3" width="32.44140625" style="1" customWidth="1"/>
    <col min="4" max="12" width="10" style="3" customWidth="1"/>
    <col min="13" max="13" width="4.5546875" style="52" customWidth="1"/>
    <col min="14" max="14" width="44.109375" style="3" customWidth="1"/>
    <col min="15" max="15" width="6" style="3" customWidth="1"/>
    <col min="16" max="16" width="34.5546875" style="3" customWidth="1"/>
    <col min="17"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2:14" x14ac:dyDescent="0.3">
      <c r="B3" s="134" t="s">
        <v>320</v>
      </c>
      <c r="C3" s="262" t="s">
        <v>647</v>
      </c>
      <c r="D3" s="134"/>
      <c r="E3" s="134"/>
      <c r="F3" s="134"/>
      <c r="G3" s="134"/>
      <c r="H3" s="134"/>
      <c r="I3" s="134"/>
      <c r="J3" s="134"/>
      <c r="K3" s="134"/>
      <c r="L3" s="134"/>
      <c r="M3" s="44"/>
      <c r="N3" s="309"/>
    </row>
    <row r="4" spans="2:14" x14ac:dyDescent="0.3">
      <c r="N4" s="309"/>
    </row>
    <row r="5" spans="2:14" ht="22.8" x14ac:dyDescent="0.3">
      <c r="B5" s="545" t="s">
        <v>21</v>
      </c>
      <c r="C5" s="491" t="s">
        <v>43</v>
      </c>
      <c r="D5" s="126" t="str">
        <f>IF(AND('1'!$C$22="Verslo pradžia",YEAR('1'!$E$22)=YEAR('1'!$C$11)),"Pradžios metai","Ataskaitiniai metai")</f>
        <v>Ataskaitiniai metai</v>
      </c>
      <c r="E5" s="476" t="s">
        <v>11</v>
      </c>
      <c r="F5" s="477"/>
      <c r="G5" s="477"/>
      <c r="H5" s="477"/>
      <c r="I5" s="477"/>
      <c r="J5" s="477"/>
      <c r="K5" s="477"/>
      <c r="L5" s="477"/>
      <c r="N5" s="309"/>
    </row>
    <row r="6" spans="2:14" ht="14.4" thickBot="1" x14ac:dyDescent="0.35">
      <c r="B6" s="546"/>
      <c r="C6" s="492"/>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4.4" thickTop="1" x14ac:dyDescent="0.3">
      <c r="B7" s="53" t="s">
        <v>327</v>
      </c>
      <c r="C7" s="54" t="s">
        <v>597</v>
      </c>
      <c r="D7" s="390">
        <f t="shared" ref="D7:L7" si="0">SUM(D8:D11,D15)</f>
        <v>0</v>
      </c>
      <c r="E7" s="390">
        <f t="shared" si="0"/>
        <v>0</v>
      </c>
      <c r="F7" s="390">
        <f t="shared" si="0"/>
        <v>0</v>
      </c>
      <c r="G7" s="390">
        <f t="shared" si="0"/>
        <v>0</v>
      </c>
      <c r="H7" s="390">
        <f t="shared" si="0"/>
        <v>0</v>
      </c>
      <c r="I7" s="390">
        <f t="shared" si="0"/>
        <v>0</v>
      </c>
      <c r="J7" s="390">
        <f t="shared" si="0"/>
        <v>0</v>
      </c>
      <c r="K7" s="390">
        <f t="shared" si="0"/>
        <v>0</v>
      </c>
      <c r="L7" s="390">
        <f t="shared" si="0"/>
        <v>0</v>
      </c>
      <c r="M7" s="55"/>
      <c r="N7" s="309"/>
    </row>
    <row r="8" spans="2:14" x14ac:dyDescent="0.3">
      <c r="B8" s="21" t="s">
        <v>629</v>
      </c>
      <c r="C8" s="56" t="s">
        <v>175</v>
      </c>
      <c r="D8" s="390">
        <f>'4'!D7</f>
        <v>0</v>
      </c>
      <c r="E8" s="390">
        <f>'4'!E7</f>
        <v>0</v>
      </c>
      <c r="F8" s="390">
        <f>'4'!F7</f>
        <v>0</v>
      </c>
      <c r="G8" s="390">
        <f>'4'!G7</f>
        <v>0</v>
      </c>
      <c r="H8" s="390">
        <f>'4'!H7</f>
        <v>0</v>
      </c>
      <c r="I8" s="390">
        <f>'4'!I7</f>
        <v>0</v>
      </c>
      <c r="J8" s="390">
        <f>'4'!J7</f>
        <v>0</v>
      </c>
      <c r="K8" s="390">
        <f>'4'!K7</f>
        <v>0</v>
      </c>
      <c r="L8" s="390">
        <f>'4'!L7</f>
        <v>0</v>
      </c>
      <c r="M8" s="55"/>
      <c r="N8" s="309"/>
    </row>
    <row r="9" spans="2:14" x14ac:dyDescent="0.3">
      <c r="B9" s="21" t="s">
        <v>630</v>
      </c>
      <c r="C9" s="56" t="s">
        <v>176</v>
      </c>
      <c r="D9" s="390">
        <f>'4'!D8</f>
        <v>0</v>
      </c>
      <c r="E9" s="390">
        <f>'4'!E8</f>
        <v>0</v>
      </c>
      <c r="F9" s="390">
        <f>'4'!F8</f>
        <v>0</v>
      </c>
      <c r="G9" s="390">
        <f>'4'!G8</f>
        <v>0</v>
      </c>
      <c r="H9" s="390">
        <f>'4'!H8</f>
        <v>0</v>
      </c>
      <c r="I9" s="390">
        <f>'4'!I8</f>
        <v>0</v>
      </c>
      <c r="J9" s="390">
        <f>'4'!J8</f>
        <v>0</v>
      </c>
      <c r="K9" s="390">
        <f>'4'!K8</f>
        <v>0</v>
      </c>
      <c r="L9" s="390">
        <f>'4'!L8</f>
        <v>0</v>
      </c>
      <c r="M9" s="55"/>
      <c r="N9" s="309"/>
    </row>
    <row r="10" spans="2:14" x14ac:dyDescent="0.3">
      <c r="B10" s="21" t="s">
        <v>631</v>
      </c>
      <c r="C10" s="56" t="s">
        <v>178</v>
      </c>
      <c r="D10" s="390">
        <f>+'4'!D9</f>
        <v>0</v>
      </c>
      <c r="E10" s="390">
        <f>+'4'!E9</f>
        <v>0</v>
      </c>
      <c r="F10" s="390">
        <f>+'4'!F9</f>
        <v>0</v>
      </c>
      <c r="G10" s="390">
        <f>+'4'!G9</f>
        <v>0</v>
      </c>
      <c r="H10" s="390">
        <f>+'4'!H9</f>
        <v>0</v>
      </c>
      <c r="I10" s="390">
        <f>+'4'!I9</f>
        <v>0</v>
      </c>
      <c r="J10" s="390">
        <f>+'4'!J9</f>
        <v>0</v>
      </c>
      <c r="K10" s="390">
        <f>+'4'!K9</f>
        <v>0</v>
      </c>
      <c r="L10" s="390">
        <f>+'4'!L9</f>
        <v>0</v>
      </c>
      <c r="M10" s="55"/>
      <c r="N10" s="309"/>
    </row>
    <row r="11" spans="2:14" x14ac:dyDescent="0.3">
      <c r="B11" s="21" t="s">
        <v>632</v>
      </c>
      <c r="C11" s="56" t="s">
        <v>598</v>
      </c>
      <c r="D11" s="390">
        <f>SUM(D12:D14)</f>
        <v>0</v>
      </c>
      <c r="E11" s="390">
        <f>SUM(E12:E14)</f>
        <v>0</v>
      </c>
      <c r="F11" s="390">
        <f t="shared" ref="F11:L11" si="1">SUM(F12:F14)</f>
        <v>0</v>
      </c>
      <c r="G11" s="390">
        <f t="shared" si="1"/>
        <v>0</v>
      </c>
      <c r="H11" s="390">
        <f t="shared" si="1"/>
        <v>0</v>
      </c>
      <c r="I11" s="390">
        <f t="shared" si="1"/>
        <v>0</v>
      </c>
      <c r="J11" s="390">
        <f t="shared" si="1"/>
        <v>0</v>
      </c>
      <c r="K11" s="390">
        <f t="shared" si="1"/>
        <v>0</v>
      </c>
      <c r="L11" s="390">
        <f t="shared" si="1"/>
        <v>0</v>
      </c>
      <c r="M11" s="55"/>
      <c r="N11" s="309"/>
    </row>
    <row r="12" spans="2:14" ht="36" x14ac:dyDescent="0.3">
      <c r="B12" s="261" t="s">
        <v>633</v>
      </c>
      <c r="C12" s="56" t="s">
        <v>774</v>
      </c>
      <c r="D12" s="351"/>
      <c r="E12" s="351"/>
      <c r="F12" s="351"/>
      <c r="G12" s="351"/>
      <c r="H12" s="351"/>
      <c r="I12" s="351"/>
      <c r="J12" s="351"/>
      <c r="K12" s="351"/>
      <c r="L12" s="351"/>
      <c r="M12" s="55"/>
      <c r="N12" s="309"/>
    </row>
    <row r="13" spans="2:14" ht="24" x14ac:dyDescent="0.3">
      <c r="B13" s="261" t="s">
        <v>634</v>
      </c>
      <c r="C13" s="56" t="s">
        <v>775</v>
      </c>
      <c r="D13" s="390">
        <f>-'7'!C13</f>
        <v>0</v>
      </c>
      <c r="E13" s="390">
        <f>-'7'!D13</f>
        <v>0</v>
      </c>
      <c r="F13" s="390">
        <f>-'7'!E13</f>
        <v>0</v>
      </c>
      <c r="G13" s="390">
        <f>-'7'!F13</f>
        <v>0</v>
      </c>
      <c r="H13" s="390">
        <f>-'7'!G13</f>
        <v>0</v>
      </c>
      <c r="I13" s="390">
        <f>-'7'!H13</f>
        <v>0</v>
      </c>
      <c r="J13" s="390">
        <f>-'7'!I13</f>
        <v>0</v>
      </c>
      <c r="K13" s="390">
        <f>-'7'!J13</f>
        <v>0</v>
      </c>
      <c r="L13" s="390">
        <f>-'7'!K13</f>
        <v>0</v>
      </c>
      <c r="M13" s="55"/>
      <c r="N13" s="309"/>
    </row>
    <row r="14" spans="2:14" x14ac:dyDescent="0.3">
      <c r="B14" s="261" t="s">
        <v>650</v>
      </c>
      <c r="C14" s="56" t="s">
        <v>599</v>
      </c>
      <c r="D14" s="351"/>
      <c r="E14" s="351"/>
      <c r="F14" s="351"/>
      <c r="G14" s="351"/>
      <c r="H14" s="351"/>
      <c r="I14" s="351"/>
      <c r="J14" s="351"/>
      <c r="K14" s="351"/>
      <c r="L14" s="351"/>
      <c r="M14" s="55"/>
      <c r="N14" s="311" t="s">
        <v>803</v>
      </c>
    </row>
    <row r="15" spans="2:14" x14ac:dyDescent="0.3">
      <c r="B15" s="21" t="s">
        <v>635</v>
      </c>
      <c r="C15" s="56" t="s">
        <v>600</v>
      </c>
      <c r="D15" s="351"/>
      <c r="E15" s="351"/>
      <c r="F15" s="351"/>
      <c r="G15" s="351"/>
      <c r="H15" s="351"/>
      <c r="I15" s="351"/>
      <c r="J15" s="351"/>
      <c r="K15" s="351"/>
      <c r="L15" s="351"/>
      <c r="M15" s="55"/>
      <c r="N15" s="311" t="s">
        <v>875</v>
      </c>
    </row>
    <row r="16" spans="2:14" x14ac:dyDescent="0.3">
      <c r="B16" s="21" t="s">
        <v>328</v>
      </c>
      <c r="C16" s="56" t="s">
        <v>601</v>
      </c>
      <c r="D16" s="391">
        <f>SUM(D17:D19)</f>
        <v>0</v>
      </c>
      <c r="E16" s="391">
        <f t="shared" ref="E16:L16" si="2">SUM(E17:E19)</f>
        <v>0</v>
      </c>
      <c r="F16" s="391">
        <f t="shared" si="2"/>
        <v>0</v>
      </c>
      <c r="G16" s="391">
        <f t="shared" si="2"/>
        <v>0</v>
      </c>
      <c r="H16" s="391">
        <f t="shared" si="2"/>
        <v>0</v>
      </c>
      <c r="I16" s="391">
        <f t="shared" si="2"/>
        <v>0</v>
      </c>
      <c r="J16" s="391">
        <f t="shared" si="2"/>
        <v>0</v>
      </c>
      <c r="K16" s="391">
        <f t="shared" si="2"/>
        <v>0</v>
      </c>
      <c r="L16" s="391">
        <f t="shared" si="2"/>
        <v>0</v>
      </c>
      <c r="M16" s="55"/>
      <c r="N16" s="309"/>
    </row>
    <row r="17" spans="2:14" x14ac:dyDescent="0.3">
      <c r="B17" s="21" t="s">
        <v>636</v>
      </c>
      <c r="C17" s="13" t="s">
        <v>602</v>
      </c>
      <c r="D17" s="391">
        <f>-'7'!C14+'7'!C13</f>
        <v>0</v>
      </c>
      <c r="E17" s="391">
        <f>-'7'!D14+'7'!D13</f>
        <v>0</v>
      </c>
      <c r="F17" s="391">
        <f>-'7'!E14+'7'!E13</f>
        <v>0</v>
      </c>
      <c r="G17" s="391">
        <f>-'7'!F14+'7'!F13</f>
        <v>0</v>
      </c>
      <c r="H17" s="391">
        <f>-'7'!G14+'7'!G13</f>
        <v>0</v>
      </c>
      <c r="I17" s="391">
        <f>-'7'!H14+'7'!H13</f>
        <v>0</v>
      </c>
      <c r="J17" s="391">
        <f>-'7'!I14+'7'!I13</f>
        <v>0</v>
      </c>
      <c r="K17" s="391">
        <f>-'7'!J14+'7'!J13</f>
        <v>0</v>
      </c>
      <c r="L17" s="391">
        <f>-'7'!K14+'7'!K13</f>
        <v>0</v>
      </c>
      <c r="N17" s="309"/>
    </row>
    <row r="18" spans="2:14" x14ac:dyDescent="0.3">
      <c r="B18" s="21" t="s">
        <v>637</v>
      </c>
      <c r="C18" s="13" t="s">
        <v>603</v>
      </c>
      <c r="D18" s="351"/>
      <c r="E18" s="351"/>
      <c r="F18" s="351"/>
      <c r="G18" s="351"/>
      <c r="H18" s="351"/>
      <c r="I18" s="351"/>
      <c r="J18" s="351"/>
      <c r="K18" s="351"/>
      <c r="L18" s="351"/>
      <c r="N18" s="311" t="s">
        <v>802</v>
      </c>
    </row>
    <row r="19" spans="2:14" x14ac:dyDescent="0.3">
      <c r="B19" s="21" t="s">
        <v>638</v>
      </c>
      <c r="C19" s="13" t="s">
        <v>604</v>
      </c>
      <c r="D19" s="391">
        <f>SUM(D20:D24)</f>
        <v>0</v>
      </c>
      <c r="E19" s="391">
        <f t="shared" ref="E19:L19" si="3">SUM(E20:E24)</f>
        <v>0</v>
      </c>
      <c r="F19" s="391">
        <f t="shared" si="3"/>
        <v>0</v>
      </c>
      <c r="G19" s="391">
        <f t="shared" si="3"/>
        <v>0</v>
      </c>
      <c r="H19" s="391">
        <f t="shared" si="3"/>
        <v>0</v>
      </c>
      <c r="I19" s="391">
        <f t="shared" si="3"/>
        <v>0</v>
      </c>
      <c r="J19" s="391">
        <f t="shared" si="3"/>
        <v>0</v>
      </c>
      <c r="K19" s="391">
        <f t="shared" si="3"/>
        <v>0</v>
      </c>
      <c r="L19" s="391">
        <f t="shared" si="3"/>
        <v>0</v>
      </c>
      <c r="N19" s="309"/>
    </row>
    <row r="20" spans="2:14" x14ac:dyDescent="0.3">
      <c r="B20" s="261" t="s">
        <v>640</v>
      </c>
      <c r="C20" s="13" t="s">
        <v>605</v>
      </c>
      <c r="D20" s="391">
        <f>-'7'!C21</f>
        <v>0</v>
      </c>
      <c r="E20" s="391">
        <f>-'7'!D21</f>
        <v>0</v>
      </c>
      <c r="F20" s="391">
        <f>-'7'!E21</f>
        <v>0</v>
      </c>
      <c r="G20" s="391">
        <f>-'7'!F21</f>
        <v>0</v>
      </c>
      <c r="H20" s="391">
        <f>-'7'!G21</f>
        <v>0</v>
      </c>
      <c r="I20" s="391">
        <f>-'7'!H21</f>
        <v>0</v>
      </c>
      <c r="J20" s="391">
        <f>-'7'!I21</f>
        <v>0</v>
      </c>
      <c r="K20" s="391">
        <f>-'7'!J21</f>
        <v>0</v>
      </c>
      <c r="L20" s="391">
        <f>-'7'!K21</f>
        <v>0</v>
      </c>
      <c r="N20" s="309"/>
    </row>
    <row r="21" spans="2:14" x14ac:dyDescent="0.3">
      <c r="B21" s="261" t="s">
        <v>641</v>
      </c>
      <c r="C21" s="13" t="s">
        <v>606</v>
      </c>
      <c r="D21" s="391">
        <f>-'7'!C24</f>
        <v>0</v>
      </c>
      <c r="E21" s="391">
        <f>-'7'!D24</f>
        <v>0</v>
      </c>
      <c r="F21" s="391">
        <f>-'7'!E24</f>
        <v>0</v>
      </c>
      <c r="G21" s="391">
        <f>-'7'!F24</f>
        <v>0</v>
      </c>
      <c r="H21" s="391">
        <f>-'7'!G24</f>
        <v>0</v>
      </c>
      <c r="I21" s="391">
        <f>-'7'!H24</f>
        <v>0</v>
      </c>
      <c r="J21" s="391">
        <f>-'7'!I24</f>
        <v>0</v>
      </c>
      <c r="K21" s="391">
        <f>-'7'!J24</f>
        <v>0</v>
      </c>
      <c r="L21" s="391">
        <f>-'7'!K24</f>
        <v>0</v>
      </c>
      <c r="N21" s="309"/>
    </row>
    <row r="22" spans="2:14" x14ac:dyDescent="0.3">
      <c r="B22" s="261" t="s">
        <v>642</v>
      </c>
      <c r="C22" s="13" t="s">
        <v>607</v>
      </c>
      <c r="D22" s="391">
        <f>-'7'!C23</f>
        <v>0</v>
      </c>
      <c r="E22" s="391">
        <f>-'7'!D23</f>
        <v>0</v>
      </c>
      <c r="F22" s="391">
        <f>-'7'!E23</f>
        <v>0</v>
      </c>
      <c r="G22" s="391">
        <f>-'7'!F23</f>
        <v>0</v>
      </c>
      <c r="H22" s="391">
        <f>-'7'!G23</f>
        <v>0</v>
      </c>
      <c r="I22" s="391">
        <f>-'7'!H23</f>
        <v>0</v>
      </c>
      <c r="J22" s="391">
        <f>-'7'!I23</f>
        <v>0</v>
      </c>
      <c r="K22" s="391">
        <f>-'7'!J23</f>
        <v>0</v>
      </c>
      <c r="L22" s="391">
        <f>-'7'!K23</f>
        <v>0</v>
      </c>
      <c r="N22" s="309"/>
    </row>
    <row r="23" spans="2:14" x14ac:dyDescent="0.3">
      <c r="B23" s="261" t="s">
        <v>643</v>
      </c>
      <c r="C23" s="56" t="s">
        <v>439</v>
      </c>
      <c r="D23" s="391">
        <f>-('8'!D25 + '8'!D35)</f>
        <v>0</v>
      </c>
      <c r="E23" s="391">
        <f>-('8'!E25 + '8'!E35)</f>
        <v>0</v>
      </c>
      <c r="F23" s="391">
        <f>-('8'!F25 + '8'!F35)</f>
        <v>0</v>
      </c>
      <c r="G23" s="391">
        <f>-('8'!G25 + '8'!G35)</f>
        <v>0</v>
      </c>
      <c r="H23" s="391">
        <f>-('8'!H25 + '8'!H35)</f>
        <v>0</v>
      </c>
      <c r="I23" s="391">
        <f>-('8'!I25 + '8'!I35)</f>
        <v>0</v>
      </c>
      <c r="J23" s="391">
        <f>-('8'!J25 + '8'!J35)</f>
        <v>0</v>
      </c>
      <c r="K23" s="391">
        <f>-('8'!K25 + '8'!K35)</f>
        <v>0</v>
      </c>
      <c r="L23" s="391">
        <f>-('8'!L25 + '8'!L35)</f>
        <v>0</v>
      </c>
      <c r="N23" s="309"/>
    </row>
    <row r="24" spans="2:14" x14ac:dyDescent="0.3">
      <c r="B24" s="261" t="s">
        <v>644</v>
      </c>
      <c r="C24" s="13" t="s">
        <v>639</v>
      </c>
      <c r="D24" s="391">
        <f>-'7'!C29-SUM(D21:D22)</f>
        <v>0</v>
      </c>
      <c r="E24" s="391">
        <f>-'7'!D29-SUM(E21:E22)</f>
        <v>0</v>
      </c>
      <c r="F24" s="391">
        <f>-'7'!E29-SUM(F21:F22)</f>
        <v>0</v>
      </c>
      <c r="G24" s="391">
        <f>-'7'!F29-SUM(G21:G22)</f>
        <v>0</v>
      </c>
      <c r="H24" s="391">
        <f>-'7'!G29-SUM(H21:H22)</f>
        <v>0</v>
      </c>
      <c r="I24" s="391">
        <f>-'7'!H29-SUM(I21:I22)</f>
        <v>0</v>
      </c>
      <c r="J24" s="391">
        <f>-'7'!I29-SUM(J21:J22)</f>
        <v>0</v>
      </c>
      <c r="K24" s="391">
        <f>-'7'!J29-SUM(K21:K22)</f>
        <v>0</v>
      </c>
      <c r="L24" s="391">
        <f>-'7'!K29-SUM(L21:L22)</f>
        <v>0</v>
      </c>
      <c r="N24" s="309"/>
    </row>
    <row r="25" spans="2:14" ht="24" x14ac:dyDescent="0.3">
      <c r="B25" s="21" t="s">
        <v>445</v>
      </c>
      <c r="C25" s="13" t="s">
        <v>608</v>
      </c>
      <c r="D25" s="391">
        <f>SUM(D7,D16)</f>
        <v>0</v>
      </c>
      <c r="E25" s="391">
        <f t="shared" ref="E25:L25" si="4">SUM(E7,E16)</f>
        <v>0</v>
      </c>
      <c r="F25" s="391">
        <f t="shared" si="4"/>
        <v>0</v>
      </c>
      <c r="G25" s="391">
        <f t="shared" si="4"/>
        <v>0</v>
      </c>
      <c r="H25" s="391">
        <f t="shared" si="4"/>
        <v>0</v>
      </c>
      <c r="I25" s="391">
        <f t="shared" si="4"/>
        <v>0</v>
      </c>
      <c r="J25" s="391">
        <f t="shared" si="4"/>
        <v>0</v>
      </c>
      <c r="K25" s="391">
        <f t="shared" si="4"/>
        <v>0</v>
      </c>
      <c r="L25" s="391">
        <f t="shared" si="4"/>
        <v>0</v>
      </c>
      <c r="N25" s="309"/>
    </row>
    <row r="26" spans="2:14" x14ac:dyDescent="0.3">
      <c r="B26" s="21" t="s">
        <v>446</v>
      </c>
      <c r="C26" s="56" t="s">
        <v>609</v>
      </c>
      <c r="D26" s="351"/>
      <c r="E26" s="396">
        <f t="shared" ref="E26:L26" si="5">IF((E25-E11)&lt;0,0,-((E25-E11)*E29))</f>
        <v>0</v>
      </c>
      <c r="F26" s="396">
        <f t="shared" si="5"/>
        <v>0</v>
      </c>
      <c r="G26" s="396">
        <f t="shared" si="5"/>
        <v>0</v>
      </c>
      <c r="H26" s="396">
        <f t="shared" si="5"/>
        <v>0</v>
      </c>
      <c r="I26" s="396">
        <f t="shared" si="5"/>
        <v>0</v>
      </c>
      <c r="J26" s="396">
        <f t="shared" si="5"/>
        <v>0</v>
      </c>
      <c r="K26" s="396">
        <f t="shared" si="5"/>
        <v>0</v>
      </c>
      <c r="L26" s="396">
        <f t="shared" si="5"/>
        <v>0</v>
      </c>
      <c r="N26" s="309"/>
    </row>
    <row r="27" spans="2:14" x14ac:dyDescent="0.3">
      <c r="B27" s="213" t="s">
        <v>447</v>
      </c>
      <c r="C27" s="214" t="s">
        <v>610</v>
      </c>
      <c r="D27" s="397">
        <f t="shared" ref="D27:L27" si="6">SUM(D25,D26)</f>
        <v>0</v>
      </c>
      <c r="E27" s="397">
        <f t="shared" si="6"/>
        <v>0</v>
      </c>
      <c r="F27" s="397">
        <f t="shared" si="6"/>
        <v>0</v>
      </c>
      <c r="G27" s="397">
        <f t="shared" si="6"/>
        <v>0</v>
      </c>
      <c r="H27" s="397">
        <f t="shared" si="6"/>
        <v>0</v>
      </c>
      <c r="I27" s="397">
        <f t="shared" si="6"/>
        <v>0</v>
      </c>
      <c r="J27" s="397">
        <f t="shared" si="6"/>
        <v>0</v>
      </c>
      <c r="K27" s="397">
        <f t="shared" si="6"/>
        <v>0</v>
      </c>
      <c r="L27" s="397">
        <f t="shared" si="6"/>
        <v>0</v>
      </c>
      <c r="N27" s="309"/>
    </row>
    <row r="28" spans="2:14" x14ac:dyDescent="0.3">
      <c r="D28" s="108"/>
      <c r="E28" s="108"/>
      <c r="F28" s="108"/>
      <c r="G28" s="108"/>
      <c r="H28" s="108"/>
      <c r="I28" s="108"/>
      <c r="J28" s="108"/>
      <c r="K28" s="108"/>
      <c r="L28" s="108"/>
      <c r="N28" s="309"/>
    </row>
    <row r="29" spans="2:14" x14ac:dyDescent="0.3">
      <c r="B29" s="21" t="s">
        <v>448</v>
      </c>
      <c r="C29" s="13" t="s">
        <v>322</v>
      </c>
      <c r="D29" s="398" t="str">
        <f>IFERROR(-D26/D25,"-")</f>
        <v>-</v>
      </c>
      <c r="E29" s="358">
        <v>0.15</v>
      </c>
      <c r="F29" s="358">
        <v>0.15</v>
      </c>
      <c r="G29" s="358">
        <v>0.15</v>
      </c>
      <c r="H29" s="358">
        <v>0.15</v>
      </c>
      <c r="I29" s="358">
        <v>0.15</v>
      </c>
      <c r="J29" s="358">
        <v>0.15</v>
      </c>
      <c r="K29" s="358">
        <v>0.15</v>
      </c>
      <c r="L29" s="358">
        <v>0.15</v>
      </c>
      <c r="N29" s="309"/>
    </row>
    <row r="30" spans="2:14" ht="28.95" customHeight="1" x14ac:dyDescent="0.3">
      <c r="B30" s="21" t="s">
        <v>449</v>
      </c>
      <c r="C30" s="13" t="s">
        <v>323</v>
      </c>
      <c r="D30" s="548"/>
      <c r="E30" s="549"/>
      <c r="F30" s="549"/>
      <c r="G30" s="549"/>
      <c r="H30" s="549"/>
      <c r="I30" s="549"/>
      <c r="J30" s="549"/>
      <c r="K30" s="549"/>
      <c r="L30" s="549"/>
      <c r="N30" s="312" t="s">
        <v>874</v>
      </c>
    </row>
    <row r="32" spans="2:14" x14ac:dyDescent="0.3">
      <c r="B32" s="134"/>
      <c r="C32" s="262" t="s">
        <v>894</v>
      </c>
      <c r="D32" s="134"/>
      <c r="E32" s="134"/>
      <c r="F32" s="134"/>
      <c r="G32" s="134"/>
      <c r="H32" s="134"/>
      <c r="I32" s="134"/>
      <c r="J32" s="134"/>
      <c r="K32" s="134"/>
      <c r="L32" s="134"/>
      <c r="N32" s="309"/>
    </row>
    <row r="33" spans="2:14" ht="15" customHeight="1" x14ac:dyDescent="0.3">
      <c r="B33" s="550" t="s">
        <v>926</v>
      </c>
      <c r="C33" s="550"/>
      <c r="D33" s="550"/>
      <c r="E33" s="550"/>
      <c r="F33" s="550"/>
      <c r="G33" s="550"/>
      <c r="H33" s="550"/>
      <c r="I33" s="550"/>
      <c r="J33" s="550"/>
      <c r="K33" s="550"/>
      <c r="L33" s="550"/>
      <c r="N33" s="547" t="s">
        <v>895</v>
      </c>
    </row>
    <row r="34" spans="2:14" ht="23.25" customHeight="1" x14ac:dyDescent="0.3">
      <c r="B34" s="550"/>
      <c r="C34" s="550"/>
      <c r="D34" s="550"/>
      <c r="E34" s="550"/>
      <c r="F34" s="550"/>
      <c r="G34" s="550"/>
      <c r="H34" s="550"/>
      <c r="I34" s="550"/>
      <c r="J34" s="550"/>
      <c r="K34" s="550"/>
      <c r="L34" s="550"/>
      <c r="N34" s="547"/>
    </row>
    <row r="35" spans="2:14" x14ac:dyDescent="0.3">
      <c r="B35" s="550"/>
      <c r="C35" s="550"/>
      <c r="D35" s="550"/>
      <c r="E35" s="550"/>
      <c r="F35" s="550"/>
      <c r="G35" s="550"/>
      <c r="H35" s="550"/>
      <c r="I35" s="550"/>
      <c r="J35" s="550"/>
      <c r="K35" s="550"/>
      <c r="L35" s="550"/>
      <c r="N35" s="547"/>
    </row>
    <row r="36" spans="2:14" x14ac:dyDescent="0.3">
      <c r="B36" s="550"/>
      <c r="C36" s="550"/>
      <c r="D36" s="550"/>
      <c r="E36" s="550"/>
      <c r="F36" s="550"/>
      <c r="G36" s="550"/>
      <c r="H36" s="550"/>
      <c r="I36" s="550"/>
      <c r="J36" s="550"/>
      <c r="K36" s="550"/>
      <c r="L36" s="550"/>
      <c r="N36" s="547"/>
    </row>
  </sheetData>
  <sheetProtection algorithmName="SHA-512" hashValue="Qou6wGzqggE1eT8253XfCj4BLkA1AoQXAS5ex3xmWeQJDG1dTViDXHPV8tKRSrJsWvD23GO6kiWjmanu/Wuy9w==" saltValue="3I+E1VhAZTPcFRvH9t616w==" spinCount="100000" sheet="1" objects="1" scenarios="1" formatRows="0" insertRows="0"/>
  <mergeCells count="6">
    <mergeCell ref="N33:N36"/>
    <mergeCell ref="B5:B6"/>
    <mergeCell ref="C5:C6"/>
    <mergeCell ref="E5:L5"/>
    <mergeCell ref="D30:L30"/>
    <mergeCell ref="B33:L36"/>
  </mergeCells>
  <phoneticPr fontId="12" type="noConversion"/>
  <conditionalFormatting sqref="D2:L2">
    <cfRule type="cellIs" dxfId="24" priority="5" operator="between">
      <formula>0.0001</formula>
      <formula>3</formula>
    </cfRule>
    <cfRule type="cellIs" dxfId="23" priority="6" operator="between">
      <formula>-3</formula>
      <formula>-0.0001</formula>
    </cfRule>
    <cfRule type="cellIs" dxfId="22" priority="7" operator="lessThan">
      <formula>-3</formula>
    </cfRule>
    <cfRule type="cellIs" dxfId="21" priority="8" operator="greaterThan">
      <formula>3</formula>
    </cfRule>
  </conditionalFormatting>
  <conditionalFormatting sqref="D6:L6">
    <cfRule type="expression" dxfId="20" priority="2">
      <formula>D6="-"</formula>
    </cfRule>
  </conditionalFormatting>
  <conditionalFormatting sqref="N2">
    <cfRule type="expression" dxfId="19" priority="1">
      <formula>ISNUMBER(SEARCH("Klaida", N2))</formula>
    </cfRule>
  </conditionalFormatting>
  <dataValidations count="1">
    <dataValidation type="whole" operator="lessThan" allowBlank="1" showInputMessage="1" showErrorMessage="1" error="Įveskite neigiamą skaičių" prompt="Įveskite neigiamą skaičių" sqref="D26 D18:L18" xr:uid="{567BEB53-C0EC-4D51-9D2B-8C35788DA9C9}">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3" id="{EB9A0E75-82C7-4816-A8A8-2864CA316447}">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B22CA-934B-42D8-9474-1C31122EC4E6}">
  <sheetPr codeName="Lapas18">
    <tabColor theme="9" tint="-0.499984740745262"/>
  </sheetPr>
  <dimension ref="A1:N50"/>
  <sheetViews>
    <sheetView topLeftCell="B1" zoomScale="120" zoomScaleNormal="120" workbookViewId="0">
      <pane xSplit="2" ySplit="6" topLeftCell="D40" activePane="bottomRight" state="frozen"/>
      <selection activeCell="J29" sqref="J29"/>
      <selection pane="topRight" activeCell="J29" sqref="J29"/>
      <selection pane="bottomLeft" activeCell="J29" sqref="J29"/>
      <selection pane="bottomRight" activeCell="H50" sqref="H50"/>
    </sheetView>
  </sheetViews>
  <sheetFormatPr defaultColWidth="8.6640625" defaultRowHeight="13.8" x14ac:dyDescent="0.3"/>
  <cols>
    <col min="1" max="1" width="0" style="3" hidden="1" customWidth="1"/>
    <col min="2" max="2" width="6.33203125" style="3" customWidth="1"/>
    <col min="3" max="3" width="33.44140625" style="1" customWidth="1"/>
    <col min="4" max="12" width="10" style="3" customWidth="1"/>
    <col min="13" max="13" width="4.44140625" style="4" customWidth="1"/>
    <col min="14" max="14" width="43.5546875" style="3" customWidth="1"/>
    <col min="15" max="16384" width="8.6640625" style="3"/>
  </cols>
  <sheetData>
    <row r="1" spans="1:14" ht="14.4" x14ac:dyDescent="0.3">
      <c r="B1" s="134" t="s">
        <v>58</v>
      </c>
      <c r="C1" s="163" t="s">
        <v>88</v>
      </c>
      <c r="D1" s="134"/>
      <c r="E1" s="134"/>
      <c r="F1" s="134"/>
      <c r="G1" s="134"/>
      <c r="H1" s="134"/>
      <c r="I1" s="134"/>
      <c r="J1" s="134"/>
      <c r="K1" s="134"/>
      <c r="L1" s="134"/>
      <c r="N1" s="299" t="s">
        <v>224</v>
      </c>
    </row>
    <row r="2" spans="1: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1:14" x14ac:dyDescent="0.3">
      <c r="B3" s="134" t="s">
        <v>321</v>
      </c>
      <c r="C3" s="262" t="s">
        <v>649</v>
      </c>
      <c r="D3" s="134"/>
      <c r="E3" s="134"/>
      <c r="F3" s="134"/>
      <c r="G3" s="134"/>
      <c r="H3" s="134"/>
      <c r="I3" s="134"/>
      <c r="J3" s="134"/>
      <c r="K3" s="134"/>
      <c r="L3" s="134"/>
      <c r="M3" s="44"/>
    </row>
    <row r="4" spans="1:14" x14ac:dyDescent="0.3">
      <c r="A4" s="215"/>
      <c r="B4" s="215"/>
      <c r="C4" s="216"/>
      <c r="D4" s="399">
        <f>+'9.3_nvo'!D64-D49</f>
        <v>0</v>
      </c>
      <c r="E4" s="399">
        <f>+'9.3_nvo'!E64-E49</f>
        <v>0</v>
      </c>
      <c r="F4" s="399">
        <f>+'9.3_nvo'!F64-F49</f>
        <v>0</v>
      </c>
      <c r="G4" s="399">
        <f>+'9.3_nvo'!G64-G49</f>
        <v>0</v>
      </c>
      <c r="H4" s="399">
        <f>+'9.3_nvo'!H64-H49</f>
        <v>0</v>
      </c>
      <c r="I4" s="399">
        <f>+'9.3_nvo'!I64-I49</f>
        <v>0</v>
      </c>
      <c r="J4" s="399">
        <f>+'9.3_nvo'!J64-J49</f>
        <v>0</v>
      </c>
      <c r="K4" s="399">
        <f>+'9.3_nvo'!K64-K49</f>
        <v>0</v>
      </c>
      <c r="L4" s="399">
        <f>+'9.3_nvo'!L64-L49</f>
        <v>0</v>
      </c>
    </row>
    <row r="5" spans="1:14" ht="22.8" x14ac:dyDescent="0.3">
      <c r="B5" s="491" t="s">
        <v>21</v>
      </c>
      <c r="C5" s="491" t="s">
        <v>43</v>
      </c>
      <c r="D5" s="126" t="str">
        <f>IF(AND('1'!$C$22="Verslo pradžia",YEAR('1'!$E$22)=YEAR('1'!$C$11)),"Pradžios metai","Ataskaitiniai metai")</f>
        <v>Ataskaitiniai metai</v>
      </c>
      <c r="E5" s="476" t="s">
        <v>11</v>
      </c>
      <c r="F5" s="477"/>
      <c r="G5" s="477"/>
      <c r="H5" s="477"/>
      <c r="I5" s="477"/>
      <c r="J5" s="477"/>
      <c r="K5" s="477"/>
      <c r="L5" s="477"/>
    </row>
    <row r="6" spans="1:14" ht="14.4" thickBot="1" x14ac:dyDescent="0.35">
      <c r="B6" s="492"/>
      <c r="C6" s="492"/>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row>
    <row r="7" spans="1:14" ht="14.4" thickTop="1" x14ac:dyDescent="0.3">
      <c r="A7" s="11"/>
      <c r="B7" s="199" t="s">
        <v>398</v>
      </c>
      <c r="C7" s="200" t="s">
        <v>127</v>
      </c>
      <c r="D7" s="201"/>
      <c r="E7" s="201"/>
      <c r="F7" s="201"/>
      <c r="G7" s="201"/>
      <c r="H7" s="201"/>
      <c r="I7" s="201"/>
      <c r="J7" s="201"/>
      <c r="K7" s="201"/>
      <c r="L7" s="201"/>
    </row>
    <row r="8" spans="1:14" x14ac:dyDescent="0.3">
      <c r="A8" s="11"/>
      <c r="B8" s="196" t="s">
        <v>407</v>
      </c>
      <c r="C8" s="18" t="s">
        <v>128</v>
      </c>
      <c r="D8" s="391">
        <f>'9.2_nvo'!D27</f>
        <v>0</v>
      </c>
      <c r="E8" s="391">
        <f>'9.2_nvo'!E27</f>
        <v>0</v>
      </c>
      <c r="F8" s="391">
        <f>'9.2_nvo'!F27</f>
        <v>0</v>
      </c>
      <c r="G8" s="391">
        <f>'9.2_nvo'!G27</f>
        <v>0</v>
      </c>
      <c r="H8" s="391">
        <f>'9.2_nvo'!H27</f>
        <v>0</v>
      </c>
      <c r="I8" s="391">
        <f>'9.2_nvo'!I27</f>
        <v>0</v>
      </c>
      <c r="J8" s="391">
        <f>'9.2_nvo'!J27</f>
        <v>0</v>
      </c>
      <c r="K8" s="391">
        <f>'9.2_nvo'!K27</f>
        <v>0</v>
      </c>
      <c r="L8" s="391">
        <f>'9.2_nvo'!L27</f>
        <v>0</v>
      </c>
    </row>
    <row r="9" spans="1:14" x14ac:dyDescent="0.3">
      <c r="A9" s="11"/>
      <c r="B9" s="196" t="s">
        <v>408</v>
      </c>
      <c r="C9" s="18" t="s">
        <v>129</v>
      </c>
      <c r="D9" s="391">
        <f>SUM('7'!C12,'7'!C13,'7'!C23)</f>
        <v>0</v>
      </c>
      <c r="E9" s="391">
        <f>SUM('7'!D12,'7'!D13,'7'!D23)</f>
        <v>0</v>
      </c>
      <c r="F9" s="391">
        <f>SUM('7'!E12,'7'!E13,'7'!E23)</f>
        <v>0</v>
      </c>
      <c r="G9" s="391">
        <f>SUM('7'!F12,'7'!F13,'7'!F23)</f>
        <v>0</v>
      </c>
      <c r="H9" s="391">
        <f>SUM('7'!G12,'7'!G13,'7'!G23)</f>
        <v>0</v>
      </c>
      <c r="I9" s="391">
        <f>SUM('7'!H12,'7'!H13,'7'!H23)</f>
        <v>0</v>
      </c>
      <c r="J9" s="391">
        <f>SUM('7'!I12,'7'!I13,'7'!I23)</f>
        <v>0</v>
      </c>
      <c r="K9" s="391">
        <f>SUM('7'!J12,'7'!J13,'7'!J23)</f>
        <v>0</v>
      </c>
      <c r="L9" s="391">
        <f>SUM('7'!K12,'7'!K13,'7'!K23)</f>
        <v>0</v>
      </c>
    </row>
    <row r="10" spans="1:14" ht="24" x14ac:dyDescent="0.3">
      <c r="A10" s="11"/>
      <c r="B10" s="196" t="s">
        <v>409</v>
      </c>
      <c r="C10" s="18" t="s">
        <v>130</v>
      </c>
      <c r="D10" s="351"/>
      <c r="E10" s="390">
        <f>-('9.2_nvo'!E15-'9.2_nvo'!E18)</f>
        <v>0</v>
      </c>
      <c r="F10" s="390">
        <f>-('9.2_nvo'!F15-'9.2_nvo'!F18)</f>
        <v>0</v>
      </c>
      <c r="G10" s="390">
        <f>-('9.2_nvo'!G15-'9.2_nvo'!G18)</f>
        <v>0</v>
      </c>
      <c r="H10" s="390">
        <f>-('9.2_nvo'!H15-'9.2_nvo'!H18)</f>
        <v>0</v>
      </c>
      <c r="I10" s="390">
        <f>-('9.2_nvo'!I15-'9.2_nvo'!I18)</f>
        <v>0</v>
      </c>
      <c r="J10" s="390">
        <f>-('9.2_nvo'!J15-'9.2_nvo'!J18)</f>
        <v>0</v>
      </c>
      <c r="K10" s="390">
        <f>-('9.2_nvo'!K15-'9.2_nvo'!K18)</f>
        <v>0</v>
      </c>
      <c r="L10" s="390">
        <f>-('9.2_nvo'!L15-'9.2_nvo'!L18)</f>
        <v>0</v>
      </c>
      <c r="N10" s="309"/>
    </row>
    <row r="11" spans="1:14" ht="24" x14ac:dyDescent="0.3">
      <c r="A11" s="11"/>
      <c r="B11" s="196" t="s">
        <v>410</v>
      </c>
      <c r="C11" s="209" t="s">
        <v>131</v>
      </c>
      <c r="D11" s="416">
        <f>-SUM('9.2_nvo'!D23)</f>
        <v>0</v>
      </c>
      <c r="E11" s="391">
        <f>-SUM('9.2_nvo'!E23)</f>
        <v>0</v>
      </c>
      <c r="F11" s="391">
        <f>-SUM('9.2_nvo'!F23)</f>
        <v>0</v>
      </c>
      <c r="G11" s="391">
        <f>-SUM('9.2_nvo'!G23)</f>
        <v>0</v>
      </c>
      <c r="H11" s="391">
        <f>-SUM('9.2_nvo'!H23)</f>
        <v>0</v>
      </c>
      <c r="I11" s="391">
        <f>-SUM('9.2_nvo'!I23)</f>
        <v>0</v>
      </c>
      <c r="J11" s="391">
        <f>-SUM('9.2_nvo'!J23)</f>
        <v>0</v>
      </c>
      <c r="K11" s="391">
        <f>-SUM('9.2_nvo'!K23)</f>
        <v>0</v>
      </c>
      <c r="L11" s="391">
        <f>-SUM('9.2_nvo'!L23)</f>
        <v>0</v>
      </c>
      <c r="M11" s="47"/>
      <c r="N11" s="309" t="s">
        <v>831</v>
      </c>
    </row>
    <row r="12" spans="1:14" ht="24" x14ac:dyDescent="0.3">
      <c r="A12" s="11"/>
      <c r="B12" s="196" t="s">
        <v>411</v>
      </c>
      <c r="C12" s="209" t="s">
        <v>443</v>
      </c>
      <c r="D12" s="351"/>
      <c r="E12" s="391">
        <f>-('9.1_nvo'!E19-'9.1_nvo'!D19)</f>
        <v>0</v>
      </c>
      <c r="F12" s="391">
        <f>-('9.1_nvo'!F19-'9.1_nvo'!E19)</f>
        <v>0</v>
      </c>
      <c r="G12" s="391">
        <f>-('9.1_nvo'!G19-'9.1_nvo'!F19)</f>
        <v>0</v>
      </c>
      <c r="H12" s="391">
        <f>-('9.1_nvo'!H19-'9.1_nvo'!G19)</f>
        <v>0</v>
      </c>
      <c r="I12" s="391">
        <f>-('9.1_nvo'!I19-'9.1_nvo'!H19)</f>
        <v>0</v>
      </c>
      <c r="J12" s="391">
        <f>-('9.1_nvo'!J19-'9.1_nvo'!I19)</f>
        <v>0</v>
      </c>
      <c r="K12" s="391">
        <f>-('9.1_nvo'!K19-'9.1_nvo'!J19)</f>
        <v>0</v>
      </c>
      <c r="L12" s="391">
        <f>-('9.1_nvo'!L19-'9.1_nvo'!K19)</f>
        <v>0</v>
      </c>
      <c r="M12" s="47"/>
    </row>
    <row r="13" spans="1:14" ht="24" x14ac:dyDescent="0.3">
      <c r="A13" s="11"/>
      <c r="B13" s="196" t="s">
        <v>412</v>
      </c>
      <c r="C13" s="18" t="s">
        <v>132</v>
      </c>
      <c r="D13" s="351"/>
      <c r="E13" s="391">
        <f>-(('9.1_nvo'!E21-'9.1_nvo'!E23) - ('9.1_nvo'!D21-'9.1_nvo'!D23))</f>
        <v>0</v>
      </c>
      <c r="F13" s="391">
        <f>-(('9.1_nvo'!F21-'9.1_nvo'!F23) - ('9.1_nvo'!E21-'9.1_nvo'!E23))</f>
        <v>0</v>
      </c>
      <c r="G13" s="391">
        <f>-(('9.1_nvo'!G21-'9.1_nvo'!G23) - ('9.1_nvo'!F21-'9.1_nvo'!F23))</f>
        <v>0</v>
      </c>
      <c r="H13" s="391">
        <f>-(('9.1_nvo'!H21-'9.1_nvo'!H23) - ('9.1_nvo'!G21-'9.1_nvo'!G23))</f>
        <v>0</v>
      </c>
      <c r="I13" s="391">
        <f>-(('9.1_nvo'!I21-'9.1_nvo'!I23) - ('9.1_nvo'!H21-'9.1_nvo'!H23))</f>
        <v>0</v>
      </c>
      <c r="J13" s="391">
        <f>-(('9.1_nvo'!J21-'9.1_nvo'!J23) - ('9.1_nvo'!I21-'9.1_nvo'!I23))</f>
        <v>0</v>
      </c>
      <c r="K13" s="391">
        <f>-(('9.1_nvo'!K21-'9.1_nvo'!K23) - ('9.1_nvo'!J21-'9.1_nvo'!J23))</f>
        <v>0</v>
      </c>
      <c r="L13" s="391">
        <f>-(('9.1_nvo'!L21-'9.1_nvo'!L23) - ('9.1_nvo'!K21-'9.1_nvo'!K23))</f>
        <v>0</v>
      </c>
    </row>
    <row r="14" spans="1:14" x14ac:dyDescent="0.3">
      <c r="A14" s="11"/>
      <c r="B14" s="196" t="s">
        <v>413</v>
      </c>
      <c r="C14" s="18" t="s">
        <v>133</v>
      </c>
      <c r="D14" s="351"/>
      <c r="E14" s="391">
        <f>-('9.1_nvo'!E23-'9.1_nvo'!D23)</f>
        <v>0</v>
      </c>
      <c r="F14" s="391">
        <f>-('9.1_nvo'!F23-'9.1_nvo'!E23)</f>
        <v>0</v>
      </c>
      <c r="G14" s="391">
        <f>-('9.1_nvo'!G23-'9.1_nvo'!F23)</f>
        <v>0</v>
      </c>
      <c r="H14" s="391">
        <f>-('9.1_nvo'!H23-'9.1_nvo'!G23)</f>
        <v>0</v>
      </c>
      <c r="I14" s="391">
        <f>-('9.1_nvo'!I23-'9.1_nvo'!H23)</f>
        <v>0</v>
      </c>
      <c r="J14" s="391">
        <f>-('9.1_nvo'!J23-'9.1_nvo'!I23)</f>
        <v>0</v>
      </c>
      <c r="K14" s="391">
        <f>-('9.1_nvo'!K23-'9.1_nvo'!J23)</f>
        <v>0</v>
      </c>
      <c r="L14" s="391">
        <f>-('9.1_nvo'!L23-'9.1_nvo'!K23)</f>
        <v>0</v>
      </c>
    </row>
    <row r="15" spans="1:14" x14ac:dyDescent="0.3">
      <c r="A15" s="11"/>
      <c r="B15" s="196" t="s">
        <v>414</v>
      </c>
      <c r="C15" s="18" t="s">
        <v>134</v>
      </c>
      <c r="D15" s="351"/>
      <c r="E15" s="391">
        <f>-('9.1_nvo'!E26-'9.1_nvo'!D26)</f>
        <v>0</v>
      </c>
      <c r="F15" s="391">
        <f>-('9.1_nvo'!F26-'9.1_nvo'!E26)</f>
        <v>0</v>
      </c>
      <c r="G15" s="391">
        <f>-('9.1_nvo'!G26-'9.1_nvo'!F26)</f>
        <v>0</v>
      </c>
      <c r="H15" s="391">
        <f>-('9.1_nvo'!H26-'9.1_nvo'!G26)</f>
        <v>0</v>
      </c>
      <c r="I15" s="391">
        <f>-('9.1_nvo'!I26-'9.1_nvo'!H26)</f>
        <v>0</v>
      </c>
      <c r="J15" s="391">
        <f>-('9.1_nvo'!J26-'9.1_nvo'!I26)</f>
        <v>0</v>
      </c>
      <c r="K15" s="391">
        <f>-('9.1_nvo'!K26-'9.1_nvo'!J26)</f>
        <v>0</v>
      </c>
      <c r="L15" s="391">
        <f>-('9.1_nvo'!L26-'9.1_nvo'!K26)</f>
        <v>0</v>
      </c>
    </row>
    <row r="16" spans="1:14" x14ac:dyDescent="0.3">
      <c r="A16" s="11"/>
      <c r="B16" s="196" t="s">
        <v>415</v>
      </c>
      <c r="C16" s="18" t="s">
        <v>135</v>
      </c>
      <c r="D16" s="351"/>
      <c r="E16" s="391">
        <f>-('9.1_nvo'!E27-'9.1_nvo'!D27)</f>
        <v>0</v>
      </c>
      <c r="F16" s="391">
        <f>-('9.1_nvo'!F27-'9.1_nvo'!E27)</f>
        <v>0</v>
      </c>
      <c r="G16" s="391">
        <f>-('9.1_nvo'!G27-'9.1_nvo'!F27)</f>
        <v>0</v>
      </c>
      <c r="H16" s="391">
        <f>-('9.1_nvo'!H27-'9.1_nvo'!G27)</f>
        <v>0</v>
      </c>
      <c r="I16" s="391">
        <f>-('9.1_nvo'!I27-'9.1_nvo'!H27)</f>
        <v>0</v>
      </c>
      <c r="J16" s="391">
        <f>-('9.1_nvo'!J27-'9.1_nvo'!I27)</f>
        <v>0</v>
      </c>
      <c r="K16" s="391">
        <f>-('9.1_nvo'!K27-'9.1_nvo'!J27)</f>
        <v>0</v>
      </c>
      <c r="L16" s="391">
        <f>-('9.1_nvo'!L27-'9.1_nvo'!K27)</f>
        <v>0</v>
      </c>
    </row>
    <row r="17" spans="1:14" ht="24" x14ac:dyDescent="0.3">
      <c r="A17" s="11"/>
      <c r="B17" s="196" t="s">
        <v>416</v>
      </c>
      <c r="C17" s="18" t="s">
        <v>136</v>
      </c>
      <c r="D17" s="351"/>
      <c r="E17" s="391">
        <f>-('9.1_nvo'!E28-'9.1_nvo'!D28)</f>
        <v>0</v>
      </c>
      <c r="F17" s="391">
        <f>-('9.1_nvo'!F28-'9.1_nvo'!E28)</f>
        <v>0</v>
      </c>
      <c r="G17" s="391">
        <f>-('9.1_nvo'!G28-'9.1_nvo'!F28)</f>
        <v>0</v>
      </c>
      <c r="H17" s="391">
        <f>-('9.1_nvo'!H28-'9.1_nvo'!G28)</f>
        <v>0</v>
      </c>
      <c r="I17" s="391">
        <f>-('9.1_nvo'!I28-'9.1_nvo'!H28)</f>
        <v>0</v>
      </c>
      <c r="J17" s="391">
        <f>-('9.1_nvo'!J28-'9.1_nvo'!I28)</f>
        <v>0</v>
      </c>
      <c r="K17" s="391">
        <f>-('9.1_nvo'!K28-'9.1_nvo'!J28)</f>
        <v>0</v>
      </c>
      <c r="L17" s="391">
        <f>-('9.1_nvo'!L28-'9.1_nvo'!K28)</f>
        <v>0</v>
      </c>
    </row>
    <row r="18" spans="1:14" ht="24" x14ac:dyDescent="0.3">
      <c r="A18" s="11"/>
      <c r="B18" s="196" t="s">
        <v>450</v>
      </c>
      <c r="C18" s="18" t="s">
        <v>137</v>
      </c>
      <c r="D18" s="351"/>
      <c r="E18" s="391">
        <f>-('9.1_nvo'!E30-'9.1_nvo'!D30)</f>
        <v>0</v>
      </c>
      <c r="F18" s="391">
        <f>-('9.1_nvo'!F30-'9.1_nvo'!E30)</f>
        <v>0</v>
      </c>
      <c r="G18" s="391">
        <f>-('9.1_nvo'!G30-'9.1_nvo'!F30)</f>
        <v>0</v>
      </c>
      <c r="H18" s="391">
        <f>-('9.1_nvo'!H30-'9.1_nvo'!G30)</f>
        <v>0</v>
      </c>
      <c r="I18" s="391">
        <f>-('9.1_nvo'!I30-'9.1_nvo'!H30)</f>
        <v>0</v>
      </c>
      <c r="J18" s="391">
        <f>-('9.1_nvo'!J30-'9.1_nvo'!I30)</f>
        <v>0</v>
      </c>
      <c r="K18" s="391">
        <f>-('9.1_nvo'!K30-'9.1_nvo'!J30)</f>
        <v>0</v>
      </c>
      <c r="L18" s="391">
        <f>-('9.1_nvo'!L30-'9.1_nvo'!K30)</f>
        <v>0</v>
      </c>
    </row>
    <row r="19" spans="1:14" ht="24" x14ac:dyDescent="0.3">
      <c r="A19" s="11"/>
      <c r="B19" s="196" t="s">
        <v>417</v>
      </c>
      <c r="C19" s="18" t="s">
        <v>138</v>
      </c>
      <c r="D19" s="351"/>
      <c r="E19" s="391">
        <f>('9.1_nvo'!E57 + '9.1_nvo'!E56)-('9.1_nvo'!D57 + '9.1_nvo'!D56)</f>
        <v>0</v>
      </c>
      <c r="F19" s="391">
        <f>('9.1_nvo'!F57 + '9.1_nvo'!F56)-('9.1_nvo'!E57 + '9.1_nvo'!E56)</f>
        <v>0</v>
      </c>
      <c r="G19" s="391">
        <f>('9.1_nvo'!G57 + '9.1_nvo'!G56)-('9.1_nvo'!F57 + '9.1_nvo'!F56)</f>
        <v>0</v>
      </c>
      <c r="H19" s="391">
        <f>('9.1_nvo'!H57 + '9.1_nvo'!H56)-('9.1_nvo'!G57 + '9.1_nvo'!G56)</f>
        <v>0</v>
      </c>
      <c r="I19" s="391">
        <f>('9.1_nvo'!I57 + '9.1_nvo'!I56)-('9.1_nvo'!H57 + '9.1_nvo'!H56)</f>
        <v>0</v>
      </c>
      <c r="J19" s="391">
        <f>('9.1_nvo'!J57 + '9.1_nvo'!J56)-('9.1_nvo'!I57 + '9.1_nvo'!I56)</f>
        <v>0</v>
      </c>
      <c r="K19" s="391">
        <f>('9.1_nvo'!K57 + '9.1_nvo'!K56)-('9.1_nvo'!J57 + '9.1_nvo'!J56)</f>
        <v>0</v>
      </c>
      <c r="L19" s="391">
        <f>('9.1_nvo'!L57 + '9.1_nvo'!L56)-('9.1_nvo'!K57 + '9.1_nvo'!K56)</f>
        <v>0</v>
      </c>
    </row>
    <row r="20" spans="1:14" ht="24" x14ac:dyDescent="0.3">
      <c r="A20" s="11"/>
      <c r="B20" s="196" t="s">
        <v>418</v>
      </c>
      <c r="C20" s="18" t="s">
        <v>139</v>
      </c>
      <c r="D20" s="351"/>
      <c r="E20" s="391">
        <f>'9.1_nvo'!E58-'9.1_nvo'!D58</f>
        <v>0</v>
      </c>
      <c r="F20" s="391">
        <f>'9.1_nvo'!F58-'9.1_nvo'!E58</f>
        <v>0</v>
      </c>
      <c r="G20" s="391">
        <f>'9.1_nvo'!G58-'9.1_nvo'!F58</f>
        <v>0</v>
      </c>
      <c r="H20" s="391">
        <f>'9.1_nvo'!H58-'9.1_nvo'!G58</f>
        <v>0</v>
      </c>
      <c r="I20" s="391">
        <f>'9.1_nvo'!I58-'9.1_nvo'!H58</f>
        <v>0</v>
      </c>
      <c r="J20" s="391">
        <f>'9.1_nvo'!J58-'9.1_nvo'!I58</f>
        <v>0</v>
      </c>
      <c r="K20" s="391">
        <f>'9.1_nvo'!K58-'9.1_nvo'!J58</f>
        <v>0</v>
      </c>
      <c r="L20" s="391">
        <f>'9.1_nvo'!L58-'9.1_nvo'!K58</f>
        <v>0</v>
      </c>
    </row>
    <row r="21" spans="1:14" ht="24" x14ac:dyDescent="0.3">
      <c r="A21" s="11"/>
      <c r="B21" s="196" t="s">
        <v>419</v>
      </c>
      <c r="C21" s="209" t="s">
        <v>140</v>
      </c>
      <c r="D21" s="351"/>
      <c r="E21" s="391">
        <f>('9.1_nvo'!E52+'9.1_nvo'!E59) - ('9.1_nvo'!D52+'9.1_nvo'!D59)</f>
        <v>0</v>
      </c>
      <c r="F21" s="391">
        <f>('9.1_nvo'!F52+'9.1_nvo'!F59) - ('9.1_nvo'!E52+'9.1_nvo'!E59)</f>
        <v>0</v>
      </c>
      <c r="G21" s="391">
        <f>('9.1_nvo'!G52+'9.1_nvo'!G59) - ('9.1_nvo'!F52+'9.1_nvo'!F59)</f>
        <v>0</v>
      </c>
      <c r="H21" s="391">
        <f>('9.1_nvo'!H52+'9.1_nvo'!H59) - ('9.1_nvo'!G52+'9.1_nvo'!G59)</f>
        <v>0</v>
      </c>
      <c r="I21" s="391">
        <f>('9.1_nvo'!I52+'9.1_nvo'!I59) - ('9.1_nvo'!H52+'9.1_nvo'!H59)</f>
        <v>0</v>
      </c>
      <c r="J21" s="391">
        <f>('9.1_nvo'!J52+'9.1_nvo'!J59) - ('9.1_nvo'!I52+'9.1_nvo'!I59)</f>
        <v>0</v>
      </c>
      <c r="K21" s="391">
        <f>('9.1_nvo'!K52+'9.1_nvo'!K59) - ('9.1_nvo'!J52+'9.1_nvo'!J59)</f>
        <v>0</v>
      </c>
      <c r="L21" s="391">
        <f>('9.1_nvo'!L52+'9.1_nvo'!L59) - ('9.1_nvo'!K52+'9.1_nvo'!K59)</f>
        <v>0</v>
      </c>
    </row>
    <row r="22" spans="1:14" ht="24" x14ac:dyDescent="0.3">
      <c r="A22" s="11"/>
      <c r="B22" s="196" t="s">
        <v>420</v>
      </c>
      <c r="C22" s="18" t="s">
        <v>141</v>
      </c>
      <c r="D22" s="351"/>
      <c r="E22" s="391">
        <f>'9.1_nvo'!E60-'9.1_nvo'!D60</f>
        <v>0</v>
      </c>
      <c r="F22" s="391">
        <f>'9.1_nvo'!F60-'9.1_nvo'!E60</f>
        <v>0</v>
      </c>
      <c r="G22" s="391">
        <f>'9.1_nvo'!G60-'9.1_nvo'!F60</f>
        <v>0</v>
      </c>
      <c r="H22" s="391">
        <f>'9.1_nvo'!H60-'9.1_nvo'!G60</f>
        <v>0</v>
      </c>
      <c r="I22" s="391">
        <f>'9.1_nvo'!I60-'9.1_nvo'!H60</f>
        <v>0</v>
      </c>
      <c r="J22" s="391">
        <f>'9.1_nvo'!J60-'9.1_nvo'!I60</f>
        <v>0</v>
      </c>
      <c r="K22" s="391">
        <f>'9.1_nvo'!K60-'9.1_nvo'!J60</f>
        <v>0</v>
      </c>
      <c r="L22" s="391">
        <f>'9.1_nvo'!L60-'9.1_nvo'!K60</f>
        <v>0</v>
      </c>
    </row>
    <row r="23" spans="1:14" x14ac:dyDescent="0.3">
      <c r="A23" s="11"/>
      <c r="B23" s="198" t="s">
        <v>421</v>
      </c>
      <c r="C23" s="128" t="s">
        <v>142</v>
      </c>
      <c r="D23" s="203">
        <f t="shared" ref="D23:L23" si="0">SUM(D8:D22)</f>
        <v>0</v>
      </c>
      <c r="E23" s="203">
        <f t="shared" si="0"/>
        <v>0</v>
      </c>
      <c r="F23" s="203">
        <f t="shared" si="0"/>
        <v>0</v>
      </c>
      <c r="G23" s="203">
        <f t="shared" si="0"/>
        <v>0</v>
      </c>
      <c r="H23" s="203">
        <f t="shared" si="0"/>
        <v>0</v>
      </c>
      <c r="I23" s="203">
        <f t="shared" si="0"/>
        <v>0</v>
      </c>
      <c r="J23" s="203">
        <f t="shared" si="0"/>
        <v>0</v>
      </c>
      <c r="K23" s="203">
        <f t="shared" si="0"/>
        <v>0</v>
      </c>
      <c r="L23" s="203">
        <f t="shared" si="0"/>
        <v>0</v>
      </c>
    </row>
    <row r="24" spans="1:14" x14ac:dyDescent="0.3">
      <c r="A24" s="11"/>
      <c r="B24" s="198" t="s">
        <v>399</v>
      </c>
      <c r="C24" s="128" t="s">
        <v>143</v>
      </c>
      <c r="D24" s="177"/>
      <c r="E24" s="177"/>
      <c r="F24" s="177"/>
      <c r="G24" s="177"/>
      <c r="H24" s="177"/>
      <c r="I24" s="177"/>
      <c r="J24" s="177"/>
      <c r="K24" s="177"/>
      <c r="L24" s="177"/>
    </row>
    <row r="25" spans="1:14" ht="24" x14ac:dyDescent="0.3">
      <c r="A25" s="11"/>
      <c r="B25" s="196" t="s">
        <v>422</v>
      </c>
      <c r="C25" s="18" t="s">
        <v>698</v>
      </c>
      <c r="D25" s="391">
        <f>-'6'!D62</f>
        <v>0</v>
      </c>
      <c r="E25" s="391">
        <f>-'6'!E62</f>
        <v>0</v>
      </c>
      <c r="F25" s="391">
        <f>-'6'!F62</f>
        <v>0</v>
      </c>
      <c r="G25" s="391">
        <f>-'6'!G62</f>
        <v>0</v>
      </c>
      <c r="H25" s="391">
        <f>-'6'!H62</f>
        <v>0</v>
      </c>
      <c r="I25" s="391">
        <f>-'6'!I62</f>
        <v>0</v>
      </c>
      <c r="J25" s="391">
        <f>-'6'!J62</f>
        <v>0</v>
      </c>
      <c r="K25" s="391">
        <f>-'6'!K62</f>
        <v>0</v>
      </c>
      <c r="L25" s="391">
        <f>-'6'!L62</f>
        <v>0</v>
      </c>
    </row>
    <row r="26" spans="1:14" ht="24" x14ac:dyDescent="0.3">
      <c r="A26" s="11"/>
      <c r="B26" s="196" t="s">
        <v>423</v>
      </c>
      <c r="C26" s="18" t="s">
        <v>699</v>
      </c>
      <c r="D26" s="351"/>
      <c r="E26" s="197"/>
      <c r="F26" s="197"/>
      <c r="G26" s="197"/>
      <c r="H26" s="197"/>
      <c r="I26" s="197"/>
      <c r="J26" s="197"/>
      <c r="K26" s="197"/>
      <c r="L26" s="197"/>
      <c r="N26" s="309" t="s">
        <v>800</v>
      </c>
    </row>
    <row r="27" spans="1:14" x14ac:dyDescent="0.3">
      <c r="A27" s="11"/>
      <c r="B27" s="196" t="s">
        <v>424</v>
      </c>
      <c r="C27" s="18" t="s">
        <v>700</v>
      </c>
      <c r="D27" s="339"/>
      <c r="E27" s="339"/>
      <c r="F27" s="339"/>
      <c r="G27" s="339"/>
      <c r="H27" s="339"/>
      <c r="I27" s="339"/>
      <c r="J27" s="339"/>
      <c r="K27" s="339"/>
      <c r="L27" s="339"/>
      <c r="N27" s="309" t="s">
        <v>832</v>
      </c>
    </row>
    <row r="28" spans="1:14" x14ac:dyDescent="0.3">
      <c r="A28" s="11"/>
      <c r="B28" s="196" t="s">
        <v>425</v>
      </c>
      <c r="C28" s="18" t="s">
        <v>702</v>
      </c>
      <c r="D28" s="351"/>
      <c r="E28" s="351"/>
      <c r="F28" s="351"/>
      <c r="G28" s="351"/>
      <c r="H28" s="351"/>
      <c r="I28" s="351"/>
      <c r="J28" s="351"/>
      <c r="K28" s="351"/>
      <c r="L28" s="351"/>
      <c r="N28" s="309" t="s">
        <v>833</v>
      </c>
    </row>
    <row r="29" spans="1:14" x14ac:dyDescent="0.3">
      <c r="A29" s="11"/>
      <c r="B29" s="196" t="s">
        <v>426</v>
      </c>
      <c r="C29" s="18" t="s">
        <v>144</v>
      </c>
      <c r="D29" s="351"/>
      <c r="E29" s="197"/>
      <c r="F29" s="197"/>
      <c r="G29" s="197"/>
      <c r="H29" s="197"/>
      <c r="I29" s="197"/>
      <c r="J29" s="197"/>
      <c r="K29" s="197"/>
      <c r="L29" s="197"/>
      <c r="N29" s="309" t="s">
        <v>442</v>
      </c>
    </row>
    <row r="30" spans="1:14" ht="24" x14ac:dyDescent="0.3">
      <c r="A30" s="11"/>
      <c r="B30" s="196" t="s">
        <v>427</v>
      </c>
      <c r="C30" s="18" t="s">
        <v>145</v>
      </c>
      <c r="D30" s="416">
        <f>IF('9.2_nvo'!D15-'9.2_nvo'!D18&gt;0,'9.2_nvo'!D15-'9.2_nvo'!D18,0)</f>
        <v>0</v>
      </c>
      <c r="E30" s="391">
        <f>IF('9.2_nvo'!E15-'9.2_nvo'!E18&gt;0,'9.2_nvo'!E15-'9.2_nvo'!E18,0)</f>
        <v>0</v>
      </c>
      <c r="F30" s="391">
        <f>IF('9.2_nvo'!F15-'9.2_nvo'!F18&gt;0,'9.2_nvo'!F15-'9.2_nvo'!F18,0)</f>
        <v>0</v>
      </c>
      <c r="G30" s="391">
        <f>IF('9.2_nvo'!G15-'9.2_nvo'!G18&gt;0,'9.2_nvo'!G15-'9.2_nvo'!G18,0)</f>
        <v>0</v>
      </c>
      <c r="H30" s="391">
        <f>IF('9.2_nvo'!H15-'9.2_nvo'!H18&gt;0,'9.2_nvo'!H15-'9.2_nvo'!H18,0)</f>
        <v>0</v>
      </c>
      <c r="I30" s="391">
        <f>IF('9.2_nvo'!I15-'9.2_nvo'!I18&gt;0,'9.2_nvo'!I15-'9.2_nvo'!I18,0)</f>
        <v>0</v>
      </c>
      <c r="J30" s="391">
        <f>IF('9.2_nvo'!J15-'9.2_nvo'!J18&gt;0,'9.2_nvo'!J15-'9.2_nvo'!J18,0)</f>
        <v>0</v>
      </c>
      <c r="K30" s="391">
        <f>IF('9.2_nvo'!K15-'9.2_nvo'!K18&gt;0,'9.2_nvo'!K15-'9.2_nvo'!K18,0)</f>
        <v>0</v>
      </c>
      <c r="L30" s="391">
        <f>IF('9.2_nvo'!L15-'9.2_nvo'!L18&gt;0,'9.2_nvo'!L15-'9.2_nvo'!L18,0)</f>
        <v>0</v>
      </c>
      <c r="N30" s="309" t="s">
        <v>440</v>
      </c>
    </row>
    <row r="31" spans="1:14" ht="24" x14ac:dyDescent="0.3">
      <c r="A31" s="11"/>
      <c r="B31" s="196" t="s">
        <v>428</v>
      </c>
      <c r="C31" s="18" t="s">
        <v>146</v>
      </c>
      <c r="D31" s="416">
        <f>IF('9.2_nvo'!D15-'9.2_nvo'!D18&lt;0,'9.2_nvo'!D15-'9.2_nvo'!D18,0)</f>
        <v>0</v>
      </c>
      <c r="E31" s="391">
        <f>IF('9.2_nvo'!E15-'9.2_nvo'!E18&lt;0,'9.2_nvo'!E15-'9.2_nvo'!E18,0)</f>
        <v>0</v>
      </c>
      <c r="F31" s="391">
        <f>IF('9.2_nvo'!F15-'9.2_nvo'!F18&lt;0,'9.2_nvo'!F15-'9.2_nvo'!F18,0)</f>
        <v>0</v>
      </c>
      <c r="G31" s="391">
        <f>IF('9.2_nvo'!G15-'9.2_nvo'!G18&lt;0,'9.2_nvo'!G15-'9.2_nvo'!G18,0)</f>
        <v>0</v>
      </c>
      <c r="H31" s="391">
        <f>IF('9.2_nvo'!H15-'9.2_nvo'!H18&lt;0,'9.2_nvo'!H15-'9.2_nvo'!H18,0)</f>
        <v>0</v>
      </c>
      <c r="I31" s="391">
        <f>IF('9.2_nvo'!I15-'9.2_nvo'!I18&lt;0,'9.2_nvo'!I15-'9.2_nvo'!I18,0)</f>
        <v>0</v>
      </c>
      <c r="J31" s="391">
        <f>IF('9.2_nvo'!J15-'9.2_nvo'!J18&lt;0,'9.2_nvo'!J15-'9.2_nvo'!J18,0)</f>
        <v>0</v>
      </c>
      <c r="K31" s="391">
        <f>IF('9.2_nvo'!K15-'9.2_nvo'!K18&lt;0,'9.2_nvo'!K15-'9.2_nvo'!K18,0)</f>
        <v>0</v>
      </c>
      <c r="L31" s="391">
        <f>IF('9.2_nvo'!L15-'9.2_nvo'!L18&lt;0,'9.2_nvo'!L15-'9.2_nvo'!L18,0)</f>
        <v>0</v>
      </c>
      <c r="N31" s="309" t="s">
        <v>441</v>
      </c>
    </row>
    <row r="32" spans="1:14" x14ac:dyDescent="0.3">
      <c r="A32" s="11"/>
      <c r="B32" s="198" t="s">
        <v>429</v>
      </c>
      <c r="C32" s="128" t="s">
        <v>147</v>
      </c>
      <c r="D32" s="204">
        <f>SUM(D25:D31)</f>
        <v>0</v>
      </c>
      <c r="E32" s="204">
        <f t="shared" ref="E32:L32" si="1">SUM(E25:E31)</f>
        <v>0</v>
      </c>
      <c r="F32" s="204">
        <f t="shared" si="1"/>
        <v>0</v>
      </c>
      <c r="G32" s="204">
        <f t="shared" si="1"/>
        <v>0</v>
      </c>
      <c r="H32" s="204">
        <f t="shared" si="1"/>
        <v>0</v>
      </c>
      <c r="I32" s="204">
        <f t="shared" si="1"/>
        <v>0</v>
      </c>
      <c r="J32" s="204">
        <f t="shared" si="1"/>
        <v>0</v>
      </c>
      <c r="K32" s="204">
        <f t="shared" si="1"/>
        <v>0</v>
      </c>
      <c r="L32" s="204">
        <f t="shared" si="1"/>
        <v>0</v>
      </c>
    </row>
    <row r="33" spans="1:14" x14ac:dyDescent="0.3">
      <c r="A33" s="11"/>
      <c r="B33" s="198" t="s">
        <v>400</v>
      </c>
      <c r="C33" s="128" t="s">
        <v>148</v>
      </c>
      <c r="D33" s="177"/>
      <c r="E33" s="177"/>
      <c r="F33" s="177"/>
      <c r="G33" s="177"/>
      <c r="H33" s="177"/>
      <c r="I33" s="177"/>
      <c r="J33" s="177"/>
      <c r="K33" s="177"/>
      <c r="L33" s="177"/>
    </row>
    <row r="34" spans="1:14" x14ac:dyDescent="0.3">
      <c r="A34" s="11"/>
      <c r="B34" s="196" t="s">
        <v>406</v>
      </c>
      <c r="C34" s="209" t="s">
        <v>710</v>
      </c>
      <c r="D34" s="391">
        <f>'8'!D19+'8'!D20</f>
        <v>0</v>
      </c>
      <c r="E34" s="391">
        <f>'8'!E19+'8'!E20</f>
        <v>0</v>
      </c>
      <c r="F34" s="391">
        <f>'8'!F19+'8'!F20</f>
        <v>0</v>
      </c>
      <c r="G34" s="391">
        <f>'8'!G19+'8'!G20</f>
        <v>0</v>
      </c>
      <c r="H34" s="391">
        <f>'8'!H19+'8'!H20</f>
        <v>0</v>
      </c>
      <c r="I34" s="391">
        <f>'8'!I19+'8'!I20</f>
        <v>0</v>
      </c>
      <c r="J34" s="391">
        <f>'8'!J19+'8'!J20</f>
        <v>0</v>
      </c>
      <c r="K34" s="391">
        <f>'8'!K19+'8'!K20</f>
        <v>0</v>
      </c>
      <c r="L34" s="391">
        <f>'8'!L19+'8'!L20</f>
        <v>0</v>
      </c>
    </row>
    <row r="35" spans="1:14" x14ac:dyDescent="0.3">
      <c r="A35" s="11"/>
      <c r="B35" s="196" t="s">
        <v>405</v>
      </c>
      <c r="C35" s="209" t="s">
        <v>711</v>
      </c>
      <c r="D35" s="391">
        <f>-('8'!D21+'8'!D22)</f>
        <v>0</v>
      </c>
      <c r="E35" s="391">
        <f>-('8'!E21+'8'!E22)</f>
        <v>0</v>
      </c>
      <c r="F35" s="391">
        <f>-('8'!F21+'8'!F22)</f>
        <v>0</v>
      </c>
      <c r="G35" s="391">
        <f>-('8'!G21+'8'!G22)</f>
        <v>0</v>
      </c>
      <c r="H35" s="391">
        <f>-('8'!H21+'8'!H22)</f>
        <v>0</v>
      </c>
      <c r="I35" s="391">
        <f>-('8'!I21+'8'!I22)</f>
        <v>0</v>
      </c>
      <c r="J35" s="391">
        <f>-('8'!J21+'8'!J22)</f>
        <v>0</v>
      </c>
      <c r="K35" s="391">
        <f>-('8'!K21+'8'!K22)</f>
        <v>0</v>
      </c>
      <c r="L35" s="391">
        <f>-('8'!L21+'8'!L22)</f>
        <v>0</v>
      </c>
    </row>
    <row r="36" spans="1:14" x14ac:dyDescent="0.3">
      <c r="A36" s="11"/>
      <c r="B36" s="196" t="s">
        <v>723</v>
      </c>
      <c r="C36" s="209" t="s">
        <v>722</v>
      </c>
      <c r="D36" s="391">
        <f>'8'!D31</f>
        <v>0</v>
      </c>
      <c r="E36" s="391">
        <f>'8'!E31</f>
        <v>0</v>
      </c>
      <c r="F36" s="391">
        <f>'8'!F31</f>
        <v>0</v>
      </c>
      <c r="G36" s="391">
        <f>'8'!G31</f>
        <v>0</v>
      </c>
      <c r="H36" s="391">
        <f>'8'!H31</f>
        <v>0</v>
      </c>
      <c r="I36" s="391">
        <f>'8'!I31</f>
        <v>0</v>
      </c>
      <c r="J36" s="391">
        <f>'8'!J31</f>
        <v>0</v>
      </c>
      <c r="K36" s="391">
        <f>'8'!K31</f>
        <v>0</v>
      </c>
      <c r="L36" s="391">
        <f>'8'!L31</f>
        <v>0</v>
      </c>
    </row>
    <row r="37" spans="1:14" ht="24" x14ac:dyDescent="0.3">
      <c r="A37" s="11"/>
      <c r="B37" s="196" t="s">
        <v>724</v>
      </c>
      <c r="C37" s="209" t="s">
        <v>712</v>
      </c>
      <c r="D37" s="391">
        <f>-'8'!D32</f>
        <v>0</v>
      </c>
      <c r="E37" s="391">
        <f>-'8'!E32</f>
        <v>0</v>
      </c>
      <c r="F37" s="391">
        <f>-'8'!F32</f>
        <v>0</v>
      </c>
      <c r="G37" s="391">
        <f>-'8'!G32</f>
        <v>0</v>
      </c>
      <c r="H37" s="391">
        <f>-'8'!H32</f>
        <v>0</v>
      </c>
      <c r="I37" s="391">
        <f>-'8'!I32</f>
        <v>0</v>
      </c>
      <c r="J37" s="391">
        <f>-'8'!J32</f>
        <v>0</v>
      </c>
      <c r="K37" s="391">
        <f>-'8'!K32</f>
        <v>0</v>
      </c>
      <c r="L37" s="391">
        <f>-'8'!L32</f>
        <v>0</v>
      </c>
    </row>
    <row r="38" spans="1:14" x14ac:dyDescent="0.3">
      <c r="A38" s="11"/>
      <c r="B38" s="196" t="s">
        <v>725</v>
      </c>
      <c r="C38" s="18" t="s">
        <v>149</v>
      </c>
      <c r="D38" s="391">
        <f>-('8'!D25+'8'!D35)</f>
        <v>0</v>
      </c>
      <c r="E38" s="391">
        <f>-('8'!E25+'8'!E35)</f>
        <v>0</v>
      </c>
      <c r="F38" s="391">
        <f>-('8'!F25+'8'!F35)</f>
        <v>0</v>
      </c>
      <c r="G38" s="391">
        <f>-('8'!G25+'8'!G35)</f>
        <v>0</v>
      </c>
      <c r="H38" s="391">
        <f>-('8'!H25+'8'!H35)</f>
        <v>0</v>
      </c>
      <c r="I38" s="391">
        <f>-('8'!I25+'8'!I35)</f>
        <v>0</v>
      </c>
      <c r="J38" s="391">
        <f>-('8'!J25+'8'!J35)</f>
        <v>0</v>
      </c>
      <c r="K38" s="391">
        <f>-('8'!K25+'8'!K35)</f>
        <v>0</v>
      </c>
      <c r="L38" s="391">
        <f>-('8'!L25+'8'!L35)</f>
        <v>0</v>
      </c>
    </row>
    <row r="39" spans="1:14" ht="36" x14ac:dyDescent="0.3">
      <c r="A39" s="11"/>
      <c r="B39" s="196" t="s">
        <v>726</v>
      </c>
      <c r="C39" s="18" t="s">
        <v>777</v>
      </c>
      <c r="D39" s="351"/>
      <c r="E39" s="351"/>
      <c r="F39" s="351"/>
      <c r="G39" s="351"/>
      <c r="H39" s="351"/>
      <c r="I39" s="351"/>
      <c r="J39" s="351"/>
      <c r="K39" s="351"/>
      <c r="L39" s="351"/>
    </row>
    <row r="40" spans="1:14" ht="24" x14ac:dyDescent="0.3">
      <c r="A40" s="11"/>
      <c r="B40" s="196" t="s">
        <v>727</v>
      </c>
      <c r="C40" s="18" t="s">
        <v>776</v>
      </c>
      <c r="D40" s="351"/>
      <c r="E40" s="391">
        <f>SUMIFS('5'!$F:$F,'5'!$B:$B,"Paramos išmokėjimas*",'5'!$C:$C,"&gt;="&amp;DATE('9.3_nvo'!E6,1,1),'5'!$C:$C,"&lt;="&amp;DATE('9.3_nvo'!E6,12,31))+SUMIFS('5'!$C$14,'9.3_nvo'!E$6,YEAR('5'!$C$15))</f>
        <v>0</v>
      </c>
      <c r="F40" s="391">
        <f>SUMIFS('5'!$F:$F,'5'!$B:$B,"Paramos išmokėjimas*",'5'!$C:$C,"&gt;="&amp;DATE('9.3_nvo'!F6,1,1),'5'!$C:$C,"&lt;="&amp;DATE('9.3_nvo'!F6,12,31))+SUMIFS('5'!$C$14,'9.3_nvo'!F$6,YEAR('5'!$C$15))</f>
        <v>0</v>
      </c>
      <c r="G40" s="391">
        <f>SUMIFS('5'!$F:$F,'5'!$B:$B,"Paramos išmokėjimas*",'5'!$C:$C,"&gt;="&amp;DATE('9.3_nvo'!G6,1,1),'5'!$C:$C,"&lt;="&amp;DATE('9.3_nvo'!G6,12,31))+SUMIFS('5'!$C$14,'9.3_nvo'!G$6,YEAR('5'!$C$15))</f>
        <v>0</v>
      </c>
      <c r="H40" s="391">
        <f>SUMIFS('5'!$F:$F,'5'!$B:$B,"Paramos išmokėjimas*",'5'!$C:$C,"&gt;="&amp;DATE('9.3_nvo'!H6,1,1),'5'!$C:$C,"&lt;="&amp;DATE('9.3_nvo'!H6,12,31))+SUMIFS('5'!$C$14,'9.3_nvo'!H$6,YEAR('5'!$C$15))</f>
        <v>0</v>
      </c>
      <c r="I40" s="391">
        <f>SUMIFS('5'!$F:$F,'5'!$B:$B,"Paramos išmokėjimas*",'5'!$C:$C,"&gt;="&amp;DATE('9.3_nvo'!I6,1,1),'5'!$C:$C,"&lt;="&amp;DATE('9.3_nvo'!I6,12,31))+SUMIFS('5'!$C$14,'9.3_nvo'!I$6,YEAR('5'!$C$15))</f>
        <v>0</v>
      </c>
      <c r="J40" s="391">
        <f>SUMIFS('5'!$F:$F,'5'!$B:$B,"Paramos išmokėjimas*",'5'!$C:$C,"&gt;="&amp;DATE('9.3_nvo'!J6,1,1),'5'!$C:$C,"&lt;="&amp;DATE('9.3_nvo'!J6,12,31))+SUMIFS('5'!$C$14,'9.3_nvo'!J$6,YEAR('5'!$C$15))</f>
        <v>0</v>
      </c>
      <c r="K40" s="391">
        <f>SUMIFS('5'!$F:$F,'5'!$B:$B,"Paramos išmokėjimas*",'5'!$C:$C,"&gt;="&amp;DATE('9.3_nvo'!K6,1,1),'5'!$C:$C,"&lt;="&amp;DATE('9.3_nvo'!K6,12,31))+SUMIFS('5'!$C$14,'9.3_nvo'!K$6,YEAR('5'!$C$15))</f>
        <v>0</v>
      </c>
      <c r="L40" s="391">
        <f>SUMIFS('5'!$F:$F,'5'!$B:$B,"Paramos išmokėjimas*",'5'!$C:$C,"&gt;="&amp;DATE('9.3_nvo'!L6,1,1),'5'!$C:$C,"&lt;="&amp;DATE('9.3_nvo'!L6,12,31))+SUMIFS('5'!$C$14,'9.3_nvo'!L$6,YEAR('5'!$C$15))</f>
        <v>0</v>
      </c>
      <c r="M40" s="47"/>
      <c r="N40" s="309" t="s">
        <v>801</v>
      </c>
    </row>
    <row r="41" spans="1:14" ht="24" x14ac:dyDescent="0.3">
      <c r="A41" s="11"/>
      <c r="B41" s="196" t="s">
        <v>728</v>
      </c>
      <c r="C41" s="18" t="s">
        <v>714</v>
      </c>
      <c r="D41" s="339"/>
      <c r="E41" s="339"/>
      <c r="F41" s="339"/>
      <c r="G41" s="339"/>
      <c r="H41" s="339"/>
      <c r="I41" s="339"/>
      <c r="J41" s="339"/>
      <c r="K41" s="339"/>
      <c r="L41" s="339"/>
      <c r="N41" s="309" t="s">
        <v>442</v>
      </c>
    </row>
    <row r="42" spans="1:14" x14ac:dyDescent="0.3">
      <c r="A42" s="11"/>
      <c r="B42" s="196" t="s">
        <v>729</v>
      </c>
      <c r="C42" s="18" t="s">
        <v>736</v>
      </c>
      <c r="D42" s="351"/>
      <c r="E42" s="351"/>
      <c r="F42" s="351"/>
      <c r="G42" s="351"/>
      <c r="H42" s="351"/>
      <c r="I42" s="351"/>
      <c r="J42" s="351"/>
      <c r="K42" s="351"/>
      <c r="L42" s="351"/>
      <c r="N42" s="309"/>
    </row>
    <row r="43" spans="1:14" x14ac:dyDescent="0.3">
      <c r="A43" s="11"/>
      <c r="B43" s="196" t="s">
        <v>730</v>
      </c>
      <c r="C43" s="18" t="s">
        <v>150</v>
      </c>
      <c r="D43" s="351"/>
      <c r="E43" s="351"/>
      <c r="F43" s="351"/>
      <c r="G43" s="351"/>
      <c r="H43" s="351"/>
      <c r="I43" s="351"/>
      <c r="J43" s="351"/>
      <c r="K43" s="351"/>
      <c r="L43" s="351"/>
      <c r="N43" s="309" t="s">
        <v>442</v>
      </c>
    </row>
    <row r="44" spans="1:14" x14ac:dyDescent="0.3">
      <c r="A44" s="11"/>
      <c r="B44" s="196" t="s">
        <v>731</v>
      </c>
      <c r="C44" s="18" t="s">
        <v>151</v>
      </c>
      <c r="D44" s="339"/>
      <c r="E44" s="339"/>
      <c r="F44" s="339"/>
      <c r="G44" s="339"/>
      <c r="H44" s="339"/>
      <c r="I44" s="339"/>
      <c r="J44" s="339"/>
      <c r="K44" s="339"/>
      <c r="L44" s="339"/>
      <c r="N44" s="309" t="s">
        <v>442</v>
      </c>
    </row>
    <row r="45" spans="1:14" x14ac:dyDescent="0.3">
      <c r="A45" s="11"/>
      <c r="B45" s="202" t="s">
        <v>805</v>
      </c>
      <c r="C45" s="128" t="s">
        <v>152</v>
      </c>
      <c r="D45" s="203">
        <f>SUM(D34:D44)</f>
        <v>0</v>
      </c>
      <c r="E45" s="203">
        <f t="shared" ref="E45:L45" si="2">SUM(E34:E44)</f>
        <v>0</v>
      </c>
      <c r="F45" s="203">
        <f t="shared" si="2"/>
        <v>0</v>
      </c>
      <c r="G45" s="203">
        <f t="shared" si="2"/>
        <v>0</v>
      </c>
      <c r="H45" s="203">
        <f t="shared" si="2"/>
        <v>0</v>
      </c>
      <c r="I45" s="203">
        <f t="shared" si="2"/>
        <v>0</v>
      </c>
      <c r="J45" s="203">
        <f t="shared" si="2"/>
        <v>0</v>
      </c>
      <c r="K45" s="203">
        <f t="shared" si="2"/>
        <v>0</v>
      </c>
      <c r="L45" s="203">
        <f t="shared" si="2"/>
        <v>0</v>
      </c>
    </row>
    <row r="46" spans="1:14" ht="24" x14ac:dyDescent="0.3">
      <c r="A46" s="11"/>
      <c r="B46" s="196" t="s">
        <v>401</v>
      </c>
      <c r="C46" s="18" t="s">
        <v>153</v>
      </c>
      <c r="D46" s="351"/>
      <c r="E46" s="87"/>
      <c r="F46" s="87"/>
      <c r="G46" s="87"/>
      <c r="H46" s="87"/>
      <c r="I46" s="87"/>
      <c r="J46" s="87"/>
      <c r="K46" s="87"/>
      <c r="L46" s="87"/>
      <c r="N46" s="309" t="s">
        <v>442</v>
      </c>
    </row>
    <row r="47" spans="1:14" ht="24" x14ac:dyDescent="0.3">
      <c r="A47" s="11"/>
      <c r="B47" s="198" t="s">
        <v>402</v>
      </c>
      <c r="C47" s="169" t="s">
        <v>154</v>
      </c>
      <c r="D47" s="176">
        <f t="shared" ref="D47" si="3">SUM(D23,D32,D45,D46)</f>
        <v>0</v>
      </c>
      <c r="E47" s="176">
        <f>SUM(E23,E32,E45,E46)</f>
        <v>0</v>
      </c>
      <c r="F47" s="176">
        <f t="shared" ref="F47:L47" si="4">SUM(F23,F32,F45,F46)</f>
        <v>0</v>
      </c>
      <c r="G47" s="176">
        <f t="shared" si="4"/>
        <v>0</v>
      </c>
      <c r="H47" s="176">
        <f t="shared" si="4"/>
        <v>0</v>
      </c>
      <c r="I47" s="176">
        <f t="shared" si="4"/>
        <v>0</v>
      </c>
      <c r="J47" s="176">
        <f t="shared" si="4"/>
        <v>0</v>
      </c>
      <c r="K47" s="176">
        <f t="shared" si="4"/>
        <v>0</v>
      </c>
      <c r="L47" s="176">
        <f t="shared" si="4"/>
        <v>0</v>
      </c>
    </row>
    <row r="48" spans="1:14" x14ac:dyDescent="0.3">
      <c r="A48" s="11"/>
      <c r="B48" s="198" t="s">
        <v>403</v>
      </c>
      <c r="C48" s="169" t="s">
        <v>155</v>
      </c>
      <c r="D48" s="351"/>
      <c r="E48" s="176">
        <f>+D49</f>
        <v>0</v>
      </c>
      <c r="F48" s="176">
        <f t="shared" ref="F48:L48" si="5">+E49</f>
        <v>0</v>
      </c>
      <c r="G48" s="176">
        <f t="shared" si="5"/>
        <v>0</v>
      </c>
      <c r="H48" s="176">
        <f t="shared" si="5"/>
        <v>0</v>
      </c>
      <c r="I48" s="176">
        <f t="shared" si="5"/>
        <v>0</v>
      </c>
      <c r="J48" s="176">
        <f t="shared" si="5"/>
        <v>0</v>
      </c>
      <c r="K48" s="176">
        <f t="shared" si="5"/>
        <v>0</v>
      </c>
      <c r="L48" s="176">
        <f t="shared" si="5"/>
        <v>0</v>
      </c>
    </row>
    <row r="49" spans="1:14" ht="22.8" x14ac:dyDescent="0.3">
      <c r="A49" s="11"/>
      <c r="B49" s="202" t="s">
        <v>404</v>
      </c>
      <c r="C49" s="128" t="s">
        <v>156</v>
      </c>
      <c r="D49" s="203">
        <f>D47+D48</f>
        <v>0</v>
      </c>
      <c r="E49" s="203">
        <f t="shared" ref="E49:L49" si="6">+E48+E47</f>
        <v>0</v>
      </c>
      <c r="F49" s="203">
        <f t="shared" si="6"/>
        <v>0</v>
      </c>
      <c r="G49" s="203">
        <f t="shared" si="6"/>
        <v>0</v>
      </c>
      <c r="H49" s="203">
        <f t="shared" si="6"/>
        <v>0</v>
      </c>
      <c r="I49" s="203">
        <f t="shared" si="6"/>
        <v>0</v>
      </c>
      <c r="J49" s="203">
        <f t="shared" si="6"/>
        <v>0</v>
      </c>
      <c r="K49" s="203">
        <f t="shared" si="6"/>
        <v>0</v>
      </c>
      <c r="L49" s="203">
        <f t="shared" si="6"/>
        <v>0</v>
      </c>
      <c r="M49" s="47"/>
      <c r="N49" s="267" t="str">
        <f>IF(COUNTIFS(D49:L49,"&lt;0")&gt;0,"Klaida! Pinigų likutis negali būti neigiamas!","ok")</f>
        <v>ok</v>
      </c>
    </row>
    <row r="50" spans="1:14" x14ac:dyDescent="0.3">
      <c r="N50" s="267" t="str">
        <f>IF(ABS(D49-'9.1_nvo'!D29)&gt;1,"Klaida! Ataskaitiniais metais pinigų likutis balanse ir pinigų srautų ataskaitoje nesutampa","ok")</f>
        <v>ok</v>
      </c>
    </row>
  </sheetData>
  <sheetProtection algorithmName="SHA-512" hashValue="JXot7Kusre01IMHwtRH1eqVaeLWt3CIaBqeLd1j8cPPyDavUNgRx6vgMb4vJrJNaN+42G1FOwcZWbVb2gsIthQ==" saltValue="CnFSeIAzNQRN0OOiBHpAJA==" spinCount="100000" sheet="1" formatRows="0" insertRows="0"/>
  <mergeCells count="3">
    <mergeCell ref="B5:B6"/>
    <mergeCell ref="C5:C6"/>
    <mergeCell ref="E5:L5"/>
  </mergeCells>
  <conditionalFormatting sqref="D11">
    <cfRule type="expression" dxfId="17" priority="1">
      <formula>ABS(D$13)&gt;D$12</formula>
    </cfRule>
  </conditionalFormatting>
  <conditionalFormatting sqref="D30:D31">
    <cfRule type="expression" dxfId="16" priority="5">
      <formula>ABS(#REF!)&gt;#REF!</formula>
    </cfRule>
  </conditionalFormatting>
  <conditionalFormatting sqref="D2:L2">
    <cfRule type="cellIs" dxfId="15" priority="10" operator="between">
      <formula>0.0001</formula>
      <formula>3</formula>
    </cfRule>
    <cfRule type="cellIs" dxfId="14" priority="11" operator="between">
      <formula>-3</formula>
      <formula>-0.0001</formula>
    </cfRule>
    <cfRule type="cellIs" dxfId="13" priority="12" operator="lessThan">
      <formula>-3</formula>
    </cfRule>
    <cfRule type="cellIs" dxfId="12" priority="13" operator="greaterThan">
      <formula>3</formula>
    </cfRule>
  </conditionalFormatting>
  <conditionalFormatting sqref="D6:L6">
    <cfRule type="expression" dxfId="11" priority="3">
      <formula>D6="-"</formula>
    </cfRule>
  </conditionalFormatting>
  <conditionalFormatting sqref="D27:L27">
    <cfRule type="expression" dxfId="10" priority="14">
      <formula>ABS(#REF!)&gt;#REF!</formula>
    </cfRule>
  </conditionalFormatting>
  <conditionalFormatting sqref="D41:L41">
    <cfRule type="expression" dxfId="9" priority="17">
      <formula>ABS(#REF!)&gt;#REF!</formula>
    </cfRule>
  </conditionalFormatting>
  <conditionalFormatting sqref="D44:L44">
    <cfRule type="expression" dxfId="8" priority="16">
      <formula>ABS(#REF!)&gt;#REF!</formula>
    </cfRule>
  </conditionalFormatting>
  <conditionalFormatting sqref="D49:L49">
    <cfRule type="expression" dxfId="7" priority="9">
      <formula>D$49&lt;0</formula>
    </cfRule>
  </conditionalFormatting>
  <conditionalFormatting sqref="N2">
    <cfRule type="expression" dxfId="6" priority="2">
      <formula>ISNUMBER(SEARCH("Klaida", N2))</formula>
    </cfRule>
  </conditionalFormatting>
  <conditionalFormatting sqref="N49:N50">
    <cfRule type="expression" dxfId="5" priority="7">
      <formula>ISNUMBER(SEARCH("Klaida", N49))</formula>
    </cfRule>
  </conditionalFormatting>
  <dataValidations count="1">
    <dataValidation type="whole" operator="lessThan" allowBlank="1" showInputMessage="1" showErrorMessage="1" error="įveskskite neigiamą skaičių" prompt="Įveskite neigiamą skaičių" sqref="D41:L41 D27:L27 D44:L44" xr:uid="{D6689A1F-7E20-4D87-9541-562D920A47AE}">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ignoredErrors>
    <ignoredError sqref="D30:D31" unlockedFormula="1"/>
  </ignoredErrors>
  <extLst>
    <ext xmlns:x14="http://schemas.microsoft.com/office/spreadsheetml/2009/9/main" uri="{78C0D931-6437-407d-A8EE-F0AAD7539E65}">
      <x14:conditionalFormattings>
        <x14:conditionalFormatting xmlns:xm="http://schemas.microsoft.com/office/excel/2006/main">
          <x14:cfRule type="expression" priority="4" id="{CA57B5FA-1FC0-448C-875B-3D00A64C9CE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DDE2-383B-4690-9A24-07BB7118C31E}">
  <sheetPr codeName="Lapas19">
    <tabColor theme="9" tint="-0.499984740745262"/>
  </sheetPr>
  <dimension ref="A1:P20"/>
  <sheetViews>
    <sheetView zoomScale="83" zoomScaleNormal="83" workbookViewId="0">
      <pane xSplit="2" ySplit="4" topLeftCell="C5" activePane="bottomRight" state="frozen"/>
      <selection activeCell="J29" sqref="J29"/>
      <selection pane="topRight" activeCell="J29" sqref="J29"/>
      <selection pane="bottomLeft" activeCell="J29" sqref="J29"/>
      <selection pane="bottomRight" activeCell="O1" sqref="O1"/>
    </sheetView>
  </sheetViews>
  <sheetFormatPr defaultColWidth="8.6640625" defaultRowHeight="13.8" x14ac:dyDescent="0.3"/>
  <cols>
    <col min="1" max="1" width="4.88671875" style="3" customWidth="1"/>
    <col min="2" max="2" width="20.33203125" style="1" customWidth="1"/>
    <col min="3" max="3" width="10.44140625" style="1" customWidth="1"/>
    <col min="4" max="4" width="11" style="3" customWidth="1"/>
    <col min="5" max="12" width="8.33203125" style="3" customWidth="1"/>
    <col min="13" max="13" width="10" style="3" customWidth="1"/>
    <col min="14" max="14" width="10.6640625" style="3" customWidth="1"/>
    <col min="15" max="15" width="7.44140625" style="4" customWidth="1"/>
    <col min="16" max="16" width="32.6640625" style="4" customWidth="1"/>
    <col min="17" max="17" width="16.33203125" style="3" customWidth="1"/>
    <col min="18" max="16384" width="8.6640625" style="3"/>
  </cols>
  <sheetData>
    <row r="1" spans="1:16" ht="13.95" customHeight="1" x14ac:dyDescent="0.3">
      <c r="A1" s="134" t="s">
        <v>125</v>
      </c>
      <c r="B1" s="553" t="s">
        <v>5</v>
      </c>
      <c r="C1" s="553"/>
      <c r="D1" s="553"/>
      <c r="E1" s="553"/>
      <c r="F1" s="553"/>
      <c r="G1" s="553"/>
      <c r="H1" s="553"/>
      <c r="I1" s="553"/>
      <c r="J1" s="553"/>
      <c r="K1" s="553"/>
      <c r="L1" s="553"/>
      <c r="M1" s="163"/>
      <c r="N1" s="163"/>
      <c r="O1" s="313" t="s">
        <v>224</v>
      </c>
      <c r="P1" s="3"/>
    </row>
    <row r="2" spans="1:16" x14ac:dyDescent="0.3">
      <c r="O2" s="314" t="s">
        <v>910</v>
      </c>
      <c r="P2" s="3"/>
    </row>
    <row r="3" spans="1:16" ht="39.6" x14ac:dyDescent="0.3">
      <c r="A3" s="530" t="s">
        <v>21</v>
      </c>
      <c r="B3" s="554" t="s">
        <v>76</v>
      </c>
      <c r="C3" s="405" t="s">
        <v>157</v>
      </c>
      <c r="D3" s="126" t="str">
        <f>IF(AND('1'!$C$22="Verslo pradžia",YEAR('1'!$E$22)=YEAR('1'!$C$11)),"Pradžios metai","Ataskaitiniai metai")</f>
        <v>Ataskaitiniai metai</v>
      </c>
      <c r="E3" s="556" t="s">
        <v>880</v>
      </c>
      <c r="F3" s="557"/>
      <c r="G3" s="557"/>
      <c r="H3" s="557"/>
      <c r="I3" s="557"/>
      <c r="J3" s="557"/>
      <c r="K3" s="557"/>
      <c r="L3" s="558"/>
      <c r="M3" s="4"/>
      <c r="N3" s="315"/>
      <c r="O3" s="3"/>
      <c r="P3" s="3"/>
    </row>
    <row r="4" spans="1:16" ht="15" customHeight="1" thickBot="1" x14ac:dyDescent="0.35">
      <c r="A4" s="531"/>
      <c r="B4" s="555"/>
      <c r="C4" s="404" t="str">
        <f>_xlfn.CONCAT("",YEAR(Parametrai!$C$13)-2)</f>
        <v>1898</v>
      </c>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4"/>
      <c r="N4" s="315"/>
      <c r="O4" s="180" t="s">
        <v>179</v>
      </c>
      <c r="P4" s="3"/>
    </row>
    <row r="5" spans="1:16" ht="14.4" thickTop="1" x14ac:dyDescent="0.3">
      <c r="A5" s="252" t="s">
        <v>347</v>
      </c>
      <c r="B5" s="183" t="s">
        <v>159</v>
      </c>
      <c r="C5" s="359"/>
      <c r="D5" s="400" t="str">
        <f>IFERROR('9.1_nvo'!D49/'9.1_nvo'!D31,"-")</f>
        <v>-</v>
      </c>
      <c r="E5" s="400" t="str">
        <f>IFERROR('9.1_nvo'!E49/'9.1_nvo'!E31,"-")</f>
        <v>-</v>
      </c>
      <c r="F5" s="400" t="str">
        <f>IFERROR('9.1_nvo'!F49/'9.1_nvo'!F31,"-")</f>
        <v>-</v>
      </c>
      <c r="G5" s="400" t="str">
        <f>IFERROR('9.1_nvo'!G49/'9.1_nvo'!G31,"-")</f>
        <v>-</v>
      </c>
      <c r="H5" s="400" t="str">
        <f>IFERROR('9.1_nvo'!H49/'9.1_nvo'!H31,"-")</f>
        <v>-</v>
      </c>
      <c r="I5" s="400" t="str">
        <f>IFERROR('9.1_nvo'!I49/'9.1_nvo'!I31,"-")</f>
        <v>-</v>
      </c>
      <c r="J5" s="400" t="str">
        <f>IFERROR('9.1_nvo'!J49/'9.1_nvo'!J31,"-")</f>
        <v>-</v>
      </c>
      <c r="K5" s="400" t="str">
        <f>IFERROR('9.1_nvo'!K49/'9.1_nvo'!K31,"-")</f>
        <v>-</v>
      </c>
      <c r="L5" s="400" t="str">
        <f>IFERROR('9.1_nvo'!L49/'9.1_nvo'!L31,"-")</f>
        <v>-</v>
      </c>
      <c r="M5" s="47"/>
      <c r="N5" s="315"/>
      <c r="O5" s="181">
        <f>Parametrai!C22</f>
        <v>0.65</v>
      </c>
      <c r="P5" s="3" t="s">
        <v>886</v>
      </c>
    </row>
    <row r="6" spans="1:16" x14ac:dyDescent="0.3">
      <c r="A6" s="252" t="s">
        <v>346</v>
      </c>
      <c r="B6" s="183" t="s">
        <v>160</v>
      </c>
      <c r="C6" s="360"/>
      <c r="D6" s="401" t="str">
        <f>IFERROR('9.2_nvo'!D27/'9.2_nvo'!D7,"-")</f>
        <v>-</v>
      </c>
      <c r="E6" s="401" t="str">
        <f>IFERROR('9.2_nvo'!E27/'9.2_nvo'!E7,"-")</f>
        <v>-</v>
      </c>
      <c r="F6" s="401" t="str">
        <f>IFERROR('9.2_nvo'!F27/'9.2_nvo'!F7,"-")</f>
        <v>-</v>
      </c>
      <c r="G6" s="401" t="str">
        <f>IFERROR('9.2_nvo'!G27/'9.2_nvo'!G7,"-")</f>
        <v>-</v>
      </c>
      <c r="H6" s="401" t="str">
        <f>IFERROR('9.2_nvo'!H27/'9.2_nvo'!H7,"-")</f>
        <v>-</v>
      </c>
      <c r="I6" s="401" t="str">
        <f>IFERROR('9.2_nvo'!I27/'9.2_nvo'!I7,"-")</f>
        <v>-</v>
      </c>
      <c r="J6" s="401" t="str">
        <f>IFERROR('9.2_nvo'!J27/'9.2_nvo'!J7,"-")</f>
        <v>-</v>
      </c>
      <c r="K6" s="401" t="str">
        <f>IFERROR('9.2_nvo'!K27/'9.2_nvo'!K7,"-")</f>
        <v>-</v>
      </c>
      <c r="L6" s="401" t="str">
        <f>IFERROR('9.2_nvo'!L27/'9.2_nvo'!L7,"-")</f>
        <v>-</v>
      </c>
      <c r="M6" s="47"/>
      <c r="N6" s="315"/>
      <c r="O6" s="182">
        <f>Parametrai!C23</f>
        <v>0.01</v>
      </c>
      <c r="P6" s="3" t="s">
        <v>885</v>
      </c>
    </row>
    <row r="7" spans="1:16" x14ac:dyDescent="0.3">
      <c r="P7" s="315"/>
    </row>
    <row r="8" spans="1:16" x14ac:dyDescent="0.3">
      <c r="P8" s="315"/>
    </row>
    <row r="9" spans="1:16" x14ac:dyDescent="0.3">
      <c r="P9" s="315"/>
    </row>
    <row r="10" spans="1:16" ht="24" customHeight="1" x14ac:dyDescent="0.3">
      <c r="B10" s="552" t="s">
        <v>553</v>
      </c>
      <c r="C10" s="552"/>
      <c r="D10" s="552"/>
      <c r="E10" s="552"/>
      <c r="F10" s="552"/>
      <c r="G10" s="552"/>
      <c r="H10" s="552"/>
      <c r="I10" s="552"/>
      <c r="J10" s="552"/>
      <c r="K10" s="552"/>
      <c r="L10" s="552"/>
      <c r="M10" s="2"/>
      <c r="N10" s="2"/>
      <c r="P10" s="315"/>
    </row>
    <row r="11" spans="1:16" ht="185.25" customHeight="1" x14ac:dyDescent="0.3">
      <c r="B11" s="551" t="s">
        <v>549</v>
      </c>
      <c r="C11" s="551"/>
      <c r="D11" s="551"/>
      <c r="E11" s="551"/>
      <c r="F11" s="551"/>
      <c r="G11" s="551"/>
      <c r="H11" s="551"/>
      <c r="I11" s="551"/>
      <c r="J11" s="551"/>
      <c r="K11" s="551"/>
      <c r="L11" s="551"/>
      <c r="M11" s="1"/>
      <c r="N11" s="1"/>
      <c r="P11" s="315"/>
    </row>
    <row r="12" spans="1:16" ht="67.5" customHeight="1" x14ac:dyDescent="0.3">
      <c r="B12" s="551" t="s">
        <v>550</v>
      </c>
      <c r="C12" s="551"/>
      <c r="D12" s="551"/>
      <c r="E12" s="551"/>
      <c r="F12" s="551"/>
      <c r="G12" s="551"/>
      <c r="H12" s="551"/>
      <c r="I12" s="551"/>
      <c r="J12" s="551"/>
      <c r="K12" s="551"/>
      <c r="L12" s="551"/>
      <c r="M12" s="1"/>
      <c r="N12" s="1"/>
      <c r="P12" s="315"/>
    </row>
    <row r="13" spans="1:16" ht="95.25" customHeight="1" x14ac:dyDescent="0.3">
      <c r="B13" s="551" t="s">
        <v>551</v>
      </c>
      <c r="C13" s="551"/>
      <c r="D13" s="551"/>
      <c r="E13" s="551"/>
      <c r="F13" s="551"/>
      <c r="G13" s="551"/>
      <c r="H13" s="551"/>
      <c r="I13" s="551"/>
      <c r="J13" s="551"/>
      <c r="K13" s="551"/>
      <c r="L13" s="551"/>
      <c r="M13" s="1"/>
      <c r="N13" s="1"/>
      <c r="P13" s="315"/>
    </row>
    <row r="14" spans="1:16" ht="108" customHeight="1" x14ac:dyDescent="0.3">
      <c r="B14" s="551" t="s">
        <v>552</v>
      </c>
      <c r="C14" s="551"/>
      <c r="D14" s="551"/>
      <c r="E14" s="551"/>
      <c r="F14" s="551"/>
      <c r="G14" s="551"/>
      <c r="H14" s="551"/>
      <c r="I14" s="551"/>
      <c r="J14" s="551"/>
      <c r="K14" s="551"/>
      <c r="L14" s="551"/>
      <c r="M14" s="1"/>
      <c r="N14" s="1"/>
      <c r="P14" s="315"/>
    </row>
    <row r="15" spans="1:16" x14ac:dyDescent="0.3">
      <c r="B15" s="4"/>
    </row>
    <row r="16" spans="1:16" x14ac:dyDescent="0.3">
      <c r="B16" s="4"/>
    </row>
    <row r="18" spans="2:2" x14ac:dyDescent="0.3">
      <c r="B18" s="4"/>
    </row>
    <row r="19" spans="2:2" x14ac:dyDescent="0.3">
      <c r="B19" s="4"/>
    </row>
    <row r="20" spans="2:2" x14ac:dyDescent="0.3">
      <c r="B20" s="4"/>
    </row>
  </sheetData>
  <sheetProtection algorithmName="SHA-512" hashValue="hdT6N8fEPsO2pR6oKbb4GOQmHbWBoWm5ieUwBq8po0LwCg53vyvq7lh7lxYOKcTixEydHAzxztiyWNkAlxETYQ==" saltValue="VUP5NuA5/sz8NFHRMYtNVg==" spinCount="100000" sheet="1" objects="1" scenarios="1" formatRows="0" insertRows="0"/>
  <mergeCells count="9">
    <mergeCell ref="B14:L14"/>
    <mergeCell ref="B13:L13"/>
    <mergeCell ref="B10:L10"/>
    <mergeCell ref="B1:L1"/>
    <mergeCell ref="A3:A4"/>
    <mergeCell ref="B3:B4"/>
    <mergeCell ref="E3:L3"/>
    <mergeCell ref="B11:L11"/>
    <mergeCell ref="B12:L12"/>
  </mergeCells>
  <conditionalFormatting sqref="D4:L4">
    <cfRule type="expression" dxfId="3"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EksportuotiIPDF">
                <anchor moveWithCells="1" sizeWithCells="1">
                  <from>
                    <xdr:col>4</xdr:col>
                    <xdr:colOff>38100</xdr:colOff>
                    <xdr:row>6</xdr:row>
                    <xdr:rowOff>137160</xdr:rowOff>
                  </from>
                  <to>
                    <xdr:col>8</xdr:col>
                    <xdr:colOff>68580</xdr:colOff>
                    <xdr:row>8</xdr:row>
                    <xdr:rowOff>76200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46316E38-5AA1-4821-9D10-125BCAB29CDD}">
            <xm:f>IF(ISNUMBER(C5)=FALSE,FALSE,IF(C5&gt;Parametrai!$C22,TRUE,FALSE))</xm:f>
            <x14:dxf>
              <font>
                <color rgb="FFC00000"/>
              </font>
              <fill>
                <patternFill>
                  <bgColor rgb="FFFFCDCD"/>
                </patternFill>
              </fill>
            </x14:dxf>
          </x14:cfRule>
          <xm:sqref>C5:L5</xm:sqref>
        </x14:conditionalFormatting>
        <x14:conditionalFormatting xmlns:xm="http://schemas.microsoft.com/office/excel/2006/main">
          <x14:cfRule type="expression" priority="4" id="{C116515A-BFE8-45CD-856A-038E7A173155}">
            <xm:f>IF(ISNUMBER(C6)=FALSE,FALSE,IF(C6&lt;Parametrai!$C23,TRUE,FALSE))</xm:f>
            <x14:dxf>
              <font>
                <color rgb="FFC00000"/>
              </font>
              <fill>
                <patternFill>
                  <bgColor rgb="FFFFCCCC"/>
                </patternFill>
              </fill>
            </x14:dxf>
          </x14:cfRule>
          <xm:sqref>C6:L6</xm:sqref>
        </x14:conditionalFormatting>
        <x14:conditionalFormatting xmlns:xm="http://schemas.microsoft.com/office/excel/2006/main">
          <x14:cfRule type="expression" priority="2" id="{29CDFFF0-0A89-4E11-A16D-23E81767AAEB}">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J111"/>
  <sheetViews>
    <sheetView topLeftCell="A73" workbookViewId="0">
      <selection activeCell="C93" sqref="C93"/>
    </sheetView>
  </sheetViews>
  <sheetFormatPr defaultRowHeight="14.4" x14ac:dyDescent="0.3"/>
  <cols>
    <col min="1" max="1" width="50" style="274" customWidth="1"/>
  </cols>
  <sheetData>
    <row r="1" spans="1:10" s="60" customFormat="1" x14ac:dyDescent="0.3">
      <c r="A1" s="273" t="s">
        <v>163</v>
      </c>
    </row>
    <row r="2" spans="1:10" s="60" customFormat="1" x14ac:dyDescent="0.3">
      <c r="A2" s="274" t="s">
        <v>164</v>
      </c>
    </row>
    <row r="3" spans="1:10" s="60" customFormat="1" ht="80.25" customHeight="1" x14ac:dyDescent="0.3">
      <c r="A3" s="275" t="s">
        <v>904</v>
      </c>
    </row>
    <row r="4" spans="1:10" ht="51" x14ac:dyDescent="0.3">
      <c r="A4" s="275" t="s">
        <v>896</v>
      </c>
      <c r="J4" s="272"/>
    </row>
    <row r="5" spans="1:10" ht="49.5" customHeight="1" x14ac:dyDescent="0.3">
      <c r="A5" s="275" t="s">
        <v>897</v>
      </c>
    </row>
    <row r="6" spans="1:10" ht="48.75" customHeight="1" x14ac:dyDescent="0.3">
      <c r="A6" s="275" t="s">
        <v>898</v>
      </c>
    </row>
    <row r="7" spans="1:10" ht="40.799999999999997" x14ac:dyDescent="0.3">
      <c r="A7" s="275" t="s">
        <v>899</v>
      </c>
    </row>
    <row r="8" spans="1:10" ht="20.399999999999999" x14ac:dyDescent="0.3">
      <c r="A8" s="275" t="s">
        <v>901</v>
      </c>
    </row>
    <row r="9" spans="1:10" ht="30.6" x14ac:dyDescent="0.3">
      <c r="A9" s="275" t="s">
        <v>903</v>
      </c>
    </row>
    <row r="10" spans="1:10" ht="81.599999999999994" x14ac:dyDescent="0.3">
      <c r="A10" s="275" t="s">
        <v>900</v>
      </c>
    </row>
    <row r="11" spans="1:10" x14ac:dyDescent="0.3">
      <c r="A11" s="276"/>
    </row>
    <row r="13" spans="1:10" x14ac:dyDescent="0.3">
      <c r="A13" s="273" t="s">
        <v>166</v>
      </c>
    </row>
    <row r="14" spans="1:10" x14ac:dyDescent="0.3">
      <c r="A14" s="274" t="s">
        <v>164</v>
      </c>
    </row>
    <row r="15" spans="1:10" x14ac:dyDescent="0.3">
      <c r="A15" s="274" t="s">
        <v>220</v>
      </c>
    </row>
    <row r="16" spans="1:10" x14ac:dyDescent="0.3">
      <c r="A16" s="274" t="s">
        <v>219</v>
      </c>
    </row>
    <row r="18" spans="1:1" x14ac:dyDescent="0.3">
      <c r="A18" s="273" t="s">
        <v>168</v>
      </c>
    </row>
    <row r="19" spans="1:1" x14ac:dyDescent="0.3">
      <c r="A19" s="274" t="s">
        <v>164</v>
      </c>
    </row>
    <row r="20" spans="1:1" x14ac:dyDescent="0.3">
      <c r="A20" s="274" t="s">
        <v>218</v>
      </c>
    </row>
    <row r="21" spans="1:1" x14ac:dyDescent="0.3">
      <c r="A21" s="274" t="s">
        <v>217</v>
      </c>
    </row>
    <row r="23" spans="1:1" s="60" customFormat="1" x14ac:dyDescent="0.3">
      <c r="A23" s="273" t="s">
        <v>906</v>
      </c>
    </row>
    <row r="24" spans="1:1" x14ac:dyDescent="0.3">
      <c r="A24" s="274" t="s">
        <v>164</v>
      </c>
    </row>
    <row r="25" spans="1:1" ht="14.7" customHeight="1" x14ac:dyDescent="0.3">
      <c r="A25" s="274" t="s">
        <v>907</v>
      </c>
    </row>
    <row r="26" spans="1:1" ht="14.7" customHeight="1" x14ac:dyDescent="0.3">
      <c r="A26" s="274" t="s">
        <v>908</v>
      </c>
    </row>
    <row r="27" spans="1:1" ht="14.7" customHeight="1" x14ac:dyDescent="0.3">
      <c r="A27" s="274" t="s">
        <v>909</v>
      </c>
    </row>
    <row r="29" spans="1:1" x14ac:dyDescent="0.3">
      <c r="A29" s="273" t="s">
        <v>171</v>
      </c>
    </row>
    <row r="30" spans="1:1" x14ac:dyDescent="0.3">
      <c r="A30" s="274" t="s">
        <v>164</v>
      </c>
    </row>
    <row r="31" spans="1:1" s="60" customFormat="1" ht="14.7" customHeight="1" x14ac:dyDescent="0.3">
      <c r="A31" s="274" t="s">
        <v>216</v>
      </c>
    </row>
    <row r="32" spans="1:1" s="60" customFormat="1" ht="14.7" customHeight="1" x14ac:dyDescent="0.3">
      <c r="A32" s="274" t="s">
        <v>215</v>
      </c>
    </row>
    <row r="33" spans="1:2" s="60" customFormat="1" ht="14.7" customHeight="1" x14ac:dyDescent="0.3">
      <c r="A33" s="274" t="s">
        <v>214</v>
      </c>
    </row>
    <row r="34" spans="1:2" s="60" customFormat="1" ht="14.7" customHeight="1" x14ac:dyDescent="0.3">
      <c r="A34" s="274" t="s">
        <v>213</v>
      </c>
    </row>
    <row r="35" spans="1:2" s="60" customFormat="1" ht="14.7" customHeight="1" x14ac:dyDescent="0.3">
      <c r="A35" s="274" t="s">
        <v>212</v>
      </c>
    </row>
    <row r="36" spans="1:2" s="60" customFormat="1" ht="14.7" customHeight="1" x14ac:dyDescent="0.3">
      <c r="A36" s="274" t="s">
        <v>211</v>
      </c>
    </row>
    <row r="37" spans="1:2" s="60" customFormat="1" ht="14.7" customHeight="1" x14ac:dyDescent="0.3">
      <c r="A37" s="274" t="s">
        <v>210</v>
      </c>
    </row>
    <row r="38" spans="1:2" x14ac:dyDescent="0.3">
      <c r="A38" s="61"/>
      <c r="B38" s="61"/>
    </row>
    <row r="39" spans="1:2" s="60" customFormat="1" x14ac:dyDescent="0.3">
      <c r="A39" s="273" t="s">
        <v>180</v>
      </c>
    </row>
    <row r="40" spans="1:2" s="60" customFormat="1" x14ac:dyDescent="0.3">
      <c r="A40" s="274" t="s">
        <v>164</v>
      </c>
    </row>
    <row r="41" spans="1:2" ht="14.7" customHeight="1" x14ac:dyDescent="0.3">
      <c r="A41" s="274" t="s">
        <v>209</v>
      </c>
    </row>
    <row r="42" spans="1:2" ht="14.7" customHeight="1" x14ac:dyDescent="0.3">
      <c r="A42" s="274" t="s">
        <v>208</v>
      </c>
    </row>
    <row r="43" spans="1:2" ht="14.7" customHeight="1" x14ac:dyDescent="0.3">
      <c r="A43" s="274" t="s">
        <v>207</v>
      </c>
    </row>
    <row r="44" spans="1:2" ht="14.7" customHeight="1" x14ac:dyDescent="0.3">
      <c r="A44" s="274" t="s">
        <v>206</v>
      </c>
    </row>
    <row r="45" spans="1:2" ht="14.7" customHeight="1" x14ac:dyDescent="0.3">
      <c r="A45" s="274" t="s">
        <v>205</v>
      </c>
    </row>
    <row r="46" spans="1:2" ht="14.7" customHeight="1" x14ac:dyDescent="0.3">
      <c r="A46" s="274" t="s">
        <v>204</v>
      </c>
    </row>
    <row r="48" spans="1:2" s="60" customFormat="1" x14ac:dyDescent="0.3">
      <c r="A48" s="273" t="s">
        <v>203</v>
      </c>
    </row>
    <row r="49" spans="1:1" x14ac:dyDescent="0.3">
      <c r="A49" s="274" t="s">
        <v>164</v>
      </c>
    </row>
    <row r="50" spans="1:1" ht="14.7" customHeight="1" x14ac:dyDescent="0.3">
      <c r="A50" s="274" t="s">
        <v>202</v>
      </c>
    </row>
    <row r="51" spans="1:1" ht="14.7" customHeight="1" x14ac:dyDescent="0.3">
      <c r="A51" s="274" t="s">
        <v>201</v>
      </c>
    </row>
    <row r="53" spans="1:1" s="60" customFormat="1" x14ac:dyDescent="0.3">
      <c r="A53" s="273" t="s">
        <v>200</v>
      </c>
    </row>
    <row r="54" spans="1:1" x14ac:dyDescent="0.3">
      <c r="A54" s="274" t="s">
        <v>164</v>
      </c>
    </row>
    <row r="55" spans="1:1" ht="14.7" customHeight="1" x14ac:dyDescent="0.3">
      <c r="A55" s="274" t="s">
        <v>199</v>
      </c>
    </row>
    <row r="56" spans="1:1" ht="14.7" customHeight="1" x14ac:dyDescent="0.3">
      <c r="A56" s="274" t="s">
        <v>198</v>
      </c>
    </row>
    <row r="57" spans="1:1" ht="14.7" customHeight="1" x14ac:dyDescent="0.3">
      <c r="A57" s="274" t="s">
        <v>197</v>
      </c>
    </row>
    <row r="60" spans="1:1" s="60" customFormat="1" x14ac:dyDescent="0.3">
      <c r="A60" s="273" t="s">
        <v>196</v>
      </c>
    </row>
    <row r="61" spans="1:1" x14ac:dyDescent="0.3">
      <c r="A61" s="274" t="s">
        <v>164</v>
      </c>
    </row>
    <row r="62" spans="1:1" ht="14.7" customHeight="1" x14ac:dyDescent="0.3">
      <c r="A62" s="274" t="s">
        <v>195</v>
      </c>
    </row>
    <row r="63" spans="1:1" ht="14.7" customHeight="1" x14ac:dyDescent="0.3">
      <c r="A63" s="274" t="s">
        <v>194</v>
      </c>
    </row>
    <row r="66" spans="1:1" s="60" customFormat="1" x14ac:dyDescent="0.3">
      <c r="A66" s="273" t="s">
        <v>193</v>
      </c>
    </row>
    <row r="67" spans="1:1" x14ac:dyDescent="0.3">
      <c r="A67" s="274" t="s">
        <v>164</v>
      </c>
    </row>
    <row r="68" spans="1:1" ht="14.7" customHeight="1" x14ac:dyDescent="0.3">
      <c r="A68" s="274" t="s">
        <v>192</v>
      </c>
    </row>
    <row r="69" spans="1:1" ht="14.7" customHeight="1" x14ac:dyDescent="0.3">
      <c r="A69" s="274" t="s">
        <v>191</v>
      </c>
    </row>
    <row r="71" spans="1:1" s="60" customFormat="1" x14ac:dyDescent="0.3">
      <c r="A71" s="273" t="s">
        <v>190</v>
      </c>
    </row>
    <row r="72" spans="1:1" x14ac:dyDescent="0.3">
      <c r="A72" s="274" t="s">
        <v>164</v>
      </c>
    </row>
    <row r="73" spans="1:1" ht="14.7" customHeight="1" x14ac:dyDescent="0.3">
      <c r="A73" s="274" t="s">
        <v>189</v>
      </c>
    </row>
    <row r="74" spans="1:1" ht="14.7" customHeight="1" x14ac:dyDescent="0.3">
      <c r="A74" s="274" t="s">
        <v>188</v>
      </c>
    </row>
    <row r="76" spans="1:1" s="60" customFormat="1" x14ac:dyDescent="0.3">
      <c r="A76" s="273" t="s">
        <v>184</v>
      </c>
    </row>
    <row r="77" spans="1:1" x14ac:dyDescent="0.3">
      <c r="A77" s="274" t="s">
        <v>164</v>
      </c>
    </row>
    <row r="78" spans="1:1" x14ac:dyDescent="0.3">
      <c r="A78" s="274" t="s">
        <v>187</v>
      </c>
    </row>
    <row r="79" spans="1:1" x14ac:dyDescent="0.3">
      <c r="A79" s="274" t="s">
        <v>186</v>
      </c>
    </row>
    <row r="80" spans="1:1" x14ac:dyDescent="0.3">
      <c r="A80" s="274" t="s">
        <v>185</v>
      </c>
    </row>
    <row r="82" spans="1:3" x14ac:dyDescent="0.3">
      <c r="A82" s="273" t="s">
        <v>246</v>
      </c>
    </row>
    <row r="83" spans="1:3" x14ac:dyDescent="0.3">
      <c r="A83" s="274" t="s">
        <v>164</v>
      </c>
    </row>
    <row r="84" spans="1:3" x14ac:dyDescent="0.3">
      <c r="A84" s="274" t="s">
        <v>264</v>
      </c>
    </row>
    <row r="85" spans="1:3" x14ac:dyDescent="0.3">
      <c r="A85" s="274" t="s">
        <v>244</v>
      </c>
    </row>
    <row r="86" spans="1:3" x14ac:dyDescent="0.3">
      <c r="A86" s="274" t="s">
        <v>245</v>
      </c>
    </row>
    <row r="89" spans="1:3" x14ac:dyDescent="0.3">
      <c r="A89" s="273" t="s">
        <v>273</v>
      </c>
    </row>
    <row r="90" spans="1:3" x14ac:dyDescent="0.3">
      <c r="A90" s="274" t="s">
        <v>840</v>
      </c>
      <c r="B90" t="s">
        <v>839</v>
      </c>
      <c r="C90" t="s">
        <v>589</v>
      </c>
    </row>
    <row r="91" spans="1:3" x14ac:dyDescent="0.3">
      <c r="A91" s="274" t="str">
        <f>IF(ParamosIšmokėjimoBūdai[[#This Row],[Taikymas]]="Taip",ParamosIšmokėjimoBūdai[[#This Row],[Būdas]],"")</f>
        <v>Kompensavimas</v>
      </c>
      <c r="B91" t="str">
        <f>_xlfn.XLOOKUP(ParamosIšmokėjimoBūdai[[#This Row],[Būdas]],Lentelė5[Naudojami paramos išmokėjimo būdai],Lentelė5[Pasirinkti])</f>
        <v>Taip</v>
      </c>
      <c r="C91" t="s">
        <v>274</v>
      </c>
    </row>
    <row r="92" spans="1:3" x14ac:dyDescent="0.3">
      <c r="A92" s="274" t="s">
        <v>275</v>
      </c>
      <c r="B92" s="81" t="str">
        <f>_xlfn.XLOOKUP(ParamosIšmokėjimoBūdai[[#This Row],[Būdas]],Lentelė5[Naudojami paramos išmokėjimo būdai],Lentelė5[Pasirinkti])</f>
        <v>Taip</v>
      </c>
      <c r="C92" t="s">
        <v>275</v>
      </c>
    </row>
    <row r="93" spans="1:3" x14ac:dyDescent="0.3">
      <c r="A93" s="274" t="s">
        <v>265</v>
      </c>
      <c r="B93" t="str">
        <f>_xlfn.XLOOKUP(ParamosIšmokėjimoBūdai[[#This Row],[Būdas]],Lentelė5[Naudojami paramos išmokėjimo būdai],Lentelė5[Pasirinkti])</f>
        <v>Taip</v>
      </c>
      <c r="C93" t="s">
        <v>265</v>
      </c>
    </row>
    <row r="95" spans="1:3" x14ac:dyDescent="0.3">
      <c r="A95" s="273" t="s">
        <v>295</v>
      </c>
    </row>
    <row r="96" spans="1:3" x14ac:dyDescent="0.3">
      <c r="A96" s="274" t="s">
        <v>19</v>
      </c>
    </row>
    <row r="97" spans="1:1" x14ac:dyDescent="0.3">
      <c r="A97" s="66" t="s">
        <v>177</v>
      </c>
    </row>
    <row r="98" spans="1:1" x14ac:dyDescent="0.3">
      <c r="A98" s="274" t="s">
        <v>296</v>
      </c>
    </row>
    <row r="99" spans="1:1" x14ac:dyDescent="0.3">
      <c r="A99" s="274" t="s">
        <v>297</v>
      </c>
    </row>
    <row r="100" spans="1:1" ht="16.2" x14ac:dyDescent="0.3">
      <c r="A100" s="274" t="s">
        <v>299</v>
      </c>
    </row>
    <row r="101" spans="1:1" ht="16.2" x14ac:dyDescent="0.3">
      <c r="A101" s="274" t="s">
        <v>300</v>
      </c>
    </row>
    <row r="104" spans="1:1" x14ac:dyDescent="0.3">
      <c r="A104" s="273" t="s">
        <v>823</v>
      </c>
    </row>
    <row r="105" spans="1:1" x14ac:dyDescent="0.3">
      <c r="A105" s="274" t="s">
        <v>824</v>
      </c>
    </row>
    <row r="106" spans="1:1" x14ac:dyDescent="0.3">
      <c r="A106" s="274" t="s">
        <v>825</v>
      </c>
    </row>
    <row r="109" spans="1:1" x14ac:dyDescent="0.3">
      <c r="A109" s="274" t="s">
        <v>836</v>
      </c>
    </row>
    <row r="110" spans="1:1" x14ac:dyDescent="0.3">
      <c r="A110" s="274" t="s">
        <v>835</v>
      </c>
    </row>
    <row r="111" spans="1:1" x14ac:dyDescent="0.3">
      <c r="A111" s="274" t="s">
        <v>837</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4.4" x14ac:dyDescent="0.3"/>
  <cols>
    <col min="1" max="1" width="5.109375" customWidth="1"/>
    <col min="2" max="2" width="51.88671875" customWidth="1"/>
    <col min="3" max="3" width="11.6640625" customWidth="1"/>
    <col min="4" max="4" width="51.88671875" customWidth="1"/>
    <col min="5" max="5" width="11.6640625" customWidth="1"/>
  </cols>
  <sheetData>
    <row r="2" spans="1:5" x14ac:dyDescent="0.3">
      <c r="B2" s="253" t="s">
        <v>590</v>
      </c>
      <c r="C2" s="254" t="s">
        <v>841</v>
      </c>
    </row>
    <row r="4" spans="1:5" x14ac:dyDescent="0.3">
      <c r="B4" t="s">
        <v>591</v>
      </c>
    </row>
    <row r="6" spans="1:5" ht="28.8" x14ac:dyDescent="0.3">
      <c r="A6" s="259" t="s">
        <v>21</v>
      </c>
      <c r="B6" s="259" t="s">
        <v>593</v>
      </c>
      <c r="C6" s="259" t="s">
        <v>594</v>
      </c>
      <c r="D6" s="259" t="s">
        <v>592</v>
      </c>
      <c r="E6" s="259" t="s">
        <v>595</v>
      </c>
    </row>
    <row r="7" spans="1:5" ht="72" x14ac:dyDescent="0.3">
      <c r="A7" s="65">
        <f>ROW()-ROW(Pataisymai[[#Headers],[Eil. Nr.]])</f>
        <v>1</v>
      </c>
      <c r="B7" s="63" t="s">
        <v>651</v>
      </c>
      <c r="C7" s="263">
        <v>45357</v>
      </c>
      <c r="D7" s="63" t="s">
        <v>806</v>
      </c>
      <c r="E7" s="62"/>
    </row>
    <row r="8" spans="1:5" x14ac:dyDescent="0.3">
      <c r="A8" s="65">
        <f>ROW()-ROW(Pataisymai[[#Headers],[Eil. Nr.]])</f>
        <v>2</v>
      </c>
      <c r="B8" s="63" t="s">
        <v>796</v>
      </c>
      <c r="C8" s="263">
        <v>45362</v>
      </c>
      <c r="D8" s="63"/>
      <c r="E8" s="62"/>
    </row>
    <row r="9" spans="1:5" ht="28.8" x14ac:dyDescent="0.3">
      <c r="A9" s="65">
        <f>ROW()-ROW(Pataisymai[[#Headers],[Eil. Nr.]])</f>
        <v>3</v>
      </c>
      <c r="B9" s="63" t="s">
        <v>843</v>
      </c>
      <c r="C9" s="263">
        <v>45364</v>
      </c>
      <c r="D9" s="63" t="s">
        <v>842</v>
      </c>
      <c r="E9" s="263">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abSelected="1" zoomScale="92" zoomScaleNormal="120" workbookViewId="0">
      <selection activeCell="I6" sqref="I6"/>
    </sheetView>
  </sheetViews>
  <sheetFormatPr defaultRowHeight="14.4" x14ac:dyDescent="0.3"/>
  <cols>
    <col min="1" max="1" width="4.109375" customWidth="1"/>
    <col min="2" max="2" width="32.88671875" customWidth="1"/>
    <col min="3" max="3" width="44.109375" customWidth="1"/>
    <col min="4" max="4" width="4.109375" customWidth="1"/>
  </cols>
  <sheetData>
    <row r="1" spans="2:5" x14ac:dyDescent="0.3">
      <c r="B1" t="s">
        <v>927</v>
      </c>
    </row>
    <row r="2" spans="2:5" x14ac:dyDescent="0.3">
      <c r="B2" s="253"/>
      <c r="C2" s="257"/>
    </row>
    <row r="3" spans="2:5" ht="50.25" customHeight="1" x14ac:dyDescent="0.3">
      <c r="B3" s="434" t="s">
        <v>925</v>
      </c>
      <c r="C3" s="435"/>
    </row>
    <row r="4" spans="2:5" x14ac:dyDescent="0.3">
      <c r="B4" s="60" t="s">
        <v>229</v>
      </c>
    </row>
    <row r="5" spans="2:5" x14ac:dyDescent="0.3">
      <c r="B5" s="60"/>
    </row>
    <row r="6" spans="2:5" ht="72" x14ac:dyDescent="0.3">
      <c r="B6" s="71" t="s">
        <v>547</v>
      </c>
      <c r="C6" s="417" t="s">
        <v>928</v>
      </c>
    </row>
    <row r="7" spans="2:5" x14ac:dyDescent="0.3">
      <c r="C7" s="418"/>
    </row>
    <row r="8" spans="2:5" x14ac:dyDescent="0.3">
      <c r="C8" s="419"/>
    </row>
    <row r="9" spans="2:5" x14ac:dyDescent="0.3">
      <c r="B9" s="270" t="s">
        <v>844</v>
      </c>
      <c r="C9" s="420" t="s">
        <v>825</v>
      </c>
    </row>
    <row r="10" spans="2:5" x14ac:dyDescent="0.3">
      <c r="C10" s="418"/>
    </row>
    <row r="11" spans="2:5" x14ac:dyDescent="0.3">
      <c r="C11" s="418"/>
    </row>
    <row r="12" spans="2:5" x14ac:dyDescent="0.3">
      <c r="B12" s="71" t="s">
        <v>344</v>
      </c>
      <c r="C12" s="421">
        <v>46266</v>
      </c>
    </row>
    <row r="13" spans="2:5" x14ac:dyDescent="0.3">
      <c r="B13" s="71" t="s">
        <v>173</v>
      </c>
      <c r="C13" s="422"/>
    </row>
    <row r="14" spans="2:5" ht="28.8" x14ac:dyDescent="0.3">
      <c r="B14" s="71" t="s">
        <v>226</v>
      </c>
      <c r="C14" s="423">
        <v>36</v>
      </c>
    </row>
    <row r="15" spans="2:5" ht="28.8" x14ac:dyDescent="0.3">
      <c r="B15" s="71" t="s">
        <v>230</v>
      </c>
      <c r="C15" s="423">
        <v>3</v>
      </c>
    </row>
    <row r="16" spans="2:5" x14ac:dyDescent="0.3">
      <c r="B16" s="185" t="s">
        <v>233</v>
      </c>
      <c r="C16" s="424"/>
      <c r="E16" s="62" t="s">
        <v>283</v>
      </c>
    </row>
    <row r="17" spans="2:3" x14ac:dyDescent="0.3">
      <c r="B17" s="71" t="s">
        <v>337</v>
      </c>
      <c r="C17" s="423">
        <v>3</v>
      </c>
    </row>
    <row r="18" spans="2:3" x14ac:dyDescent="0.3">
      <c r="B18" s="186"/>
      <c r="C18" s="184"/>
    </row>
    <row r="19" spans="2:3" x14ac:dyDescent="0.3">
      <c r="B19" s="186"/>
      <c r="C19" s="184"/>
    </row>
    <row r="20" spans="2:3" x14ac:dyDescent="0.3">
      <c r="B20" s="187" t="s">
        <v>228</v>
      </c>
      <c r="C20" s="74" t="s">
        <v>179</v>
      </c>
    </row>
    <row r="21" spans="2:3" x14ac:dyDescent="0.3">
      <c r="B21" s="71" t="s">
        <v>158</v>
      </c>
      <c r="C21" s="425">
        <v>1.25</v>
      </c>
    </row>
    <row r="22" spans="2:3" x14ac:dyDescent="0.3">
      <c r="B22" s="71" t="s">
        <v>159</v>
      </c>
      <c r="C22" s="425">
        <v>0.65</v>
      </c>
    </row>
    <row r="23" spans="2:3" x14ac:dyDescent="0.3">
      <c r="B23" s="71" t="s">
        <v>160</v>
      </c>
      <c r="C23" s="426">
        <v>0.01</v>
      </c>
    </row>
    <row r="24" spans="2:3" x14ac:dyDescent="0.3">
      <c r="B24" s="71" t="s">
        <v>174</v>
      </c>
      <c r="C24" s="425">
        <v>1</v>
      </c>
    </row>
    <row r="25" spans="2:3" x14ac:dyDescent="0.3">
      <c r="B25" s="186"/>
      <c r="C25" s="184"/>
    </row>
    <row r="26" spans="2:3" x14ac:dyDescent="0.3">
      <c r="B26" s="186"/>
      <c r="C26" s="184"/>
    </row>
    <row r="27" spans="2:3" ht="28.8" x14ac:dyDescent="0.3">
      <c r="B27" s="71" t="s">
        <v>277</v>
      </c>
      <c r="C27" s="427">
        <v>0.4</v>
      </c>
    </row>
    <row r="29" spans="2:3" x14ac:dyDescent="0.3">
      <c r="B29" s="431" t="s">
        <v>834</v>
      </c>
      <c r="C29" s="428" t="s">
        <v>838</v>
      </c>
    </row>
    <row r="30" spans="2:3" x14ac:dyDescent="0.3">
      <c r="B30" s="432" t="s">
        <v>274</v>
      </c>
      <c r="C30" s="429" t="s">
        <v>835</v>
      </c>
    </row>
    <row r="31" spans="2:3" x14ac:dyDescent="0.3">
      <c r="B31" s="432" t="s">
        <v>275</v>
      </c>
      <c r="C31" s="429" t="s">
        <v>835</v>
      </c>
    </row>
    <row r="32" spans="2:3" x14ac:dyDescent="0.3">
      <c r="B32" s="433" t="s">
        <v>265</v>
      </c>
      <c r="C32" s="430" t="s">
        <v>835</v>
      </c>
    </row>
  </sheetData>
  <sheetProtection algorithmName="SHA-512" hashValue="+x3LtbxplIvOsHam9vzojTwkLPZZMdsBla+wsSB7rQ13oxxbiDnkY/Zi3Yf7eHO1tNVFGQ4HOsBW6aB7NN1jYw==" saltValue="2R/nGZiDDF4WikcRCT5xEQ==" spinCount="100000" sheet="1" objects="1" scenarios="1"/>
  <protectedRanges>
    <protectedRange algorithmName="SHA-512" hashValue="f1hO8TT/TXF6lKlmNc83hpUGg58sE4J+1KaFb2pe8mSbb65cL4PfwhrpPeEfR0aHM1L1iLgrfpO4yaRPBG7O1g==" saltValue="rNwzb1uUPoFGasklYNltMg==" spinCount="100000" sqref="B30:C32" name="Range5"/>
    <protectedRange algorithmName="SHA-512" hashValue="LtY17K08cNO8BHc1tMBV17xpt+NyVqGZ56clOwiG0YH6pS1c+Y/jGJhi2elaFrNwZQZdRM29NatIoZAIvDzxkA==" saltValue="NofcAWEfZxX0xe/Jb6y/8Q==" spinCount="100000" sqref="B12:C17" name="Range1"/>
    <protectedRange algorithmName="SHA-512" hashValue="TupaUIjzKpLueIMSXJzliyPE+wg6+fghSZJIotRRv1ZUx2nKXBrMndGI4X2oOiEsfphZNBx3MlgJvw812naeBQ==" saltValue="Bw02rCK+OZ3byh/6cfil6Q==" spinCount="100000" sqref="B20:C24" name="Range2"/>
    <protectedRange algorithmName="SHA-512" hashValue="8LiQ01puwQzCj++GrKwXgQLu82XkU/LiVkrq/0cqlS3xsRfD/oAb5cc0WHKCUte0EVxUGM0yfwm7MlLWw60HeA==" saltValue="Z1cQKO/XBXVLWZLHUpDyxg==" spinCount="100000" sqref="B27:C27" name="Range3"/>
    <protectedRange algorithmName="SHA-512" hashValue="YPKWPGPKzHQGDPJX143uzswatTS5gdAqWHFocUPot1SBeLxCsDehVHulXK3Ez4z/xlRP6T37E0l00W9QdaQsYA==" saltValue="3qQ5hf51cKvQ6XXJYyx6Cg==" spinCount="100000" sqref="B29:C29" name="Range4"/>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Konstantos!$A$105:$A$106</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99" zoomScaleNormal="180" workbookViewId="0">
      <selection activeCell="D13" sqref="D13"/>
    </sheetView>
  </sheetViews>
  <sheetFormatPr defaultColWidth="8.6640625" defaultRowHeight="13.8" x14ac:dyDescent="0.3"/>
  <cols>
    <col min="1" max="1" width="2.33203125" style="232" customWidth="1"/>
    <col min="2" max="2" width="4.88671875" style="232" hidden="1" customWidth="1"/>
    <col min="3" max="3" width="7.88671875" style="232" customWidth="1"/>
    <col min="4" max="4" width="64.33203125" style="232" customWidth="1"/>
    <col min="5" max="5" width="2.44140625" style="232" customWidth="1"/>
    <col min="6" max="16384" width="8.6640625" style="232"/>
  </cols>
  <sheetData>
    <row r="2" spans="2:4" ht="14.4" x14ac:dyDescent="0.3">
      <c r="B2" s="436" t="s">
        <v>4</v>
      </c>
      <c r="C2" s="436"/>
      <c r="D2" s="436"/>
    </row>
    <row r="4" spans="2:4" s="233" customFormat="1" ht="26.25" customHeight="1" x14ac:dyDescent="0.3">
      <c r="B4" s="234" t="s">
        <v>21</v>
      </c>
      <c r="C4" s="234" t="s">
        <v>545</v>
      </c>
      <c r="D4" s="234" t="s">
        <v>293</v>
      </c>
    </row>
    <row r="5" spans="2:4" s="233" customFormat="1" ht="14.4" x14ac:dyDescent="0.3">
      <c r="B5" s="235">
        <f>ROW()-ROW(Turinys[[#Headers],[Eil. Nr.]])</f>
        <v>1</v>
      </c>
      <c r="C5" s="235"/>
      <c r="D5" s="236" t="s">
        <v>224</v>
      </c>
    </row>
    <row r="6" spans="2:4" s="233" customFormat="1" ht="14.4" x14ac:dyDescent="0.3">
      <c r="B6" s="235">
        <f>ROW()-ROW(Turinys[[#Headers],[Eil. Nr.]])</f>
        <v>2</v>
      </c>
      <c r="C6" s="235" t="s">
        <v>0</v>
      </c>
      <c r="D6" s="236" t="s">
        <v>580</v>
      </c>
    </row>
    <row r="7" spans="2:4" s="233" customFormat="1" ht="14.4" x14ac:dyDescent="0.3">
      <c r="B7" s="235">
        <f>ROW()-ROW(Turinys[[#Headers],[Eil. Nr.]])</f>
        <v>3</v>
      </c>
      <c r="C7" s="235" t="s">
        <v>6</v>
      </c>
      <c r="D7" s="236" t="s">
        <v>581</v>
      </c>
    </row>
    <row r="8" spans="2:4" s="233" customFormat="1" ht="28.8" x14ac:dyDescent="0.3">
      <c r="B8" s="235">
        <f>ROW()-ROW(Turinys[[#Headers],[Eil. Nr.]])</f>
        <v>4</v>
      </c>
      <c r="C8" s="235" t="s">
        <v>7</v>
      </c>
      <c r="D8" s="236" t="s">
        <v>582</v>
      </c>
    </row>
    <row r="9" spans="2:4" s="233" customFormat="1" ht="14.4" x14ac:dyDescent="0.3">
      <c r="B9" s="235">
        <f>ROW()-ROW(Turinys[[#Headers],[Eil. Nr.]])</f>
        <v>5</v>
      </c>
      <c r="C9" s="235" t="s">
        <v>98</v>
      </c>
      <c r="D9" s="236" t="s">
        <v>583</v>
      </c>
    </row>
    <row r="10" spans="2:4" s="233" customFormat="1" ht="14.4" x14ac:dyDescent="0.3">
      <c r="B10" s="235">
        <f>ROW()-ROW(Turinys[[#Headers],[Eil. Nr.]])</f>
        <v>6</v>
      </c>
      <c r="C10" s="235" t="s">
        <v>8</v>
      </c>
      <c r="D10" s="236" t="s">
        <v>584</v>
      </c>
    </row>
    <row r="11" spans="2:4" s="233" customFormat="1" ht="14.4" x14ac:dyDescent="0.3">
      <c r="B11" s="235">
        <f>ROW()-ROW(Turinys[[#Headers],[Eil. Nr.]])</f>
        <v>7</v>
      </c>
      <c r="C11" s="235" t="s">
        <v>20</v>
      </c>
      <c r="D11" s="236" t="s">
        <v>585</v>
      </c>
    </row>
    <row r="12" spans="2:4" s="233" customFormat="1" ht="14.4" x14ac:dyDescent="0.3">
      <c r="B12" s="235">
        <f>ROW()-ROW(Turinys[[#Headers],[Eil. Nr.]])</f>
        <v>8</v>
      </c>
      <c r="C12" s="235" t="s">
        <v>33</v>
      </c>
      <c r="D12" s="236" t="s">
        <v>586</v>
      </c>
    </row>
    <row r="13" spans="2:4" s="233" customFormat="1" ht="14.4" x14ac:dyDescent="0.3">
      <c r="B13" s="235">
        <f>ROW()-ROW(Turinys[[#Headers],[Eil. Nr.]])</f>
        <v>9</v>
      </c>
      <c r="C13" s="235" t="s">
        <v>35</v>
      </c>
      <c r="D13" s="236" t="s">
        <v>587</v>
      </c>
    </row>
    <row r="14" spans="2:4" s="233" customFormat="1" ht="14.4" x14ac:dyDescent="0.3">
      <c r="B14" s="235">
        <f>ROW()-ROW(Turinys[[#Headers],[Eil. Nr.]])</f>
        <v>10</v>
      </c>
      <c r="C14" s="235" t="s">
        <v>881</v>
      </c>
      <c r="D14" s="236" t="s">
        <v>90</v>
      </c>
    </row>
    <row r="15" spans="2:4" s="233" customFormat="1" ht="14.4" x14ac:dyDescent="0.3">
      <c r="B15" s="235">
        <f>ROW()-ROW(Turinys[[#Headers],[Eil. Nr.]])</f>
        <v>11</v>
      </c>
      <c r="C15" s="235" t="s">
        <v>882</v>
      </c>
      <c r="D15" s="236" t="s">
        <v>124</v>
      </c>
    </row>
    <row r="16" spans="2:4" s="233" customFormat="1" ht="14.4" x14ac:dyDescent="0.3">
      <c r="B16" s="235">
        <f>ROW()-ROW(Turinys[[#Headers],[Eil. Nr.]])</f>
        <v>12</v>
      </c>
      <c r="C16" s="235" t="s">
        <v>883</v>
      </c>
      <c r="D16" s="236" t="s">
        <v>126</v>
      </c>
    </row>
    <row r="17" spans="2:4" s="233" customFormat="1" ht="14.4" x14ac:dyDescent="0.3">
      <c r="B17" s="235">
        <f>ROW()-ROW(Turinys[[#Headers],[Eil. Nr.]])</f>
        <v>13</v>
      </c>
      <c r="C17" s="235" t="s">
        <v>884</v>
      </c>
      <c r="D17" s="236" t="s">
        <v>588</v>
      </c>
    </row>
  </sheetData>
  <sheetProtection algorithmName="SHA-512" hashValue="qDTUIbPnFsYcriWLcUw8ZlJ5ljiktrs5jrFRn5PPEtD+PTRW2PLe1XDqwlR8xQtMV2t2c1nHl8yfJ6efFE4GTg==" saltValue="7ppgI7TiqU3ClHEfDU6zBg=="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_nvo'!A1" display="Balanso prognozės" xr:uid="{7B44613E-C956-4B88-A853-B8132B642E24}"/>
    <hyperlink ref="D15" location="'9.2_nvo'!A1" display="Pelno (nuostolių) prognozės" xr:uid="{4DB18A52-C6C6-403B-AF5A-A92806E87191}"/>
    <hyperlink ref="D16" location="'9.3_nvo'!A1" display="Pinigų srautų prognozės" xr:uid="{6F8FBBD0-5F96-4E9F-9353-44BE0597F5A0}"/>
    <hyperlink ref="D17" location="'10_nvo'!A1" display="Informacija apie ūkio subjekto ekonominio gyvybingumo rodiklius" xr:uid="{BCCD4FBE-38A2-43CF-B9E4-32EC0E533AA6}"/>
  </hyperlinks>
  <pageMargins left="0.7" right="0.7" top="0.75" bottom="0.75" header="0.3" footer="0.3"/>
  <pageSetup paperSize="9" orientation="portrait" horizontalDpi="4294967293" verticalDpi="4294967293"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1:G12"/>
  <sheetViews>
    <sheetView zoomScale="106" zoomScaleNormal="150" workbookViewId="0">
      <selection activeCell="B11" sqref="B11"/>
    </sheetView>
  </sheetViews>
  <sheetFormatPr defaultColWidth="9.109375" defaultRowHeight="14.4" x14ac:dyDescent="0.3"/>
  <cols>
    <col min="1" max="1" width="3.44140625" style="274" customWidth="1"/>
    <col min="2" max="2" width="59.109375" style="274" customWidth="1"/>
    <col min="3" max="3" width="21.5546875" style="274" customWidth="1"/>
    <col min="4" max="4" width="11.6640625" style="274" hidden="1" customWidth="1"/>
    <col min="5" max="5" width="9.33203125" style="274" customWidth="1"/>
    <col min="6" max="6" width="12" style="274" customWidth="1"/>
    <col min="7" max="7" width="61.6640625" style="274" customWidth="1"/>
    <col min="8" max="16384" width="9.109375" style="274"/>
  </cols>
  <sheetData>
    <row r="1" spans="1:7" x14ac:dyDescent="0.3">
      <c r="G1" s="274" t="s">
        <v>916</v>
      </c>
    </row>
    <row r="2" spans="1:7" ht="15.6" x14ac:dyDescent="0.3">
      <c r="B2" s="279" t="s">
        <v>340</v>
      </c>
      <c r="F2" s="280" t="s">
        <v>911</v>
      </c>
      <c r="G2" s="281" t="s">
        <v>912</v>
      </c>
    </row>
    <row r="3" spans="1:7" ht="36" x14ac:dyDescent="0.3">
      <c r="B3" s="406" t="s">
        <v>924</v>
      </c>
      <c r="C3" s="274" t="s">
        <v>917</v>
      </c>
      <c r="F3" s="282"/>
      <c r="G3" s="283" t="s">
        <v>913</v>
      </c>
    </row>
    <row r="4" spans="1:7" ht="48" x14ac:dyDescent="0.3">
      <c r="B4" s="407" t="s">
        <v>923</v>
      </c>
      <c r="C4" s="277" t="s">
        <v>918</v>
      </c>
      <c r="F4" s="284"/>
      <c r="G4" s="285" t="s">
        <v>914</v>
      </c>
    </row>
    <row r="5" spans="1:7" ht="24" x14ac:dyDescent="0.3">
      <c r="B5" s="408" t="s">
        <v>922</v>
      </c>
      <c r="C5" s="274" t="s">
        <v>919</v>
      </c>
      <c r="F5" s="288"/>
      <c r="G5" s="289" t="s">
        <v>915</v>
      </c>
    </row>
    <row r="6" spans="1:7" ht="24" x14ac:dyDescent="0.3">
      <c r="B6" s="286" t="s">
        <v>431</v>
      </c>
      <c r="D6" s="274" t="s">
        <v>345</v>
      </c>
    </row>
    <row r="7" spans="1:7" ht="28.8" x14ac:dyDescent="0.3">
      <c r="B7" s="287" t="s">
        <v>430</v>
      </c>
      <c r="C7" s="277" t="s">
        <v>920</v>
      </c>
    </row>
    <row r="8" spans="1:7" ht="36" x14ac:dyDescent="0.3">
      <c r="B8" s="290" t="s">
        <v>546</v>
      </c>
      <c r="C8" s="274" t="s">
        <v>921</v>
      </c>
      <c r="D8" s="66" t="s">
        <v>341</v>
      </c>
    </row>
    <row r="9" spans="1:7" ht="36" x14ac:dyDescent="0.3">
      <c r="B9" s="291" t="s">
        <v>548</v>
      </c>
      <c r="C9" s="274" t="s">
        <v>921</v>
      </c>
      <c r="D9" s="274" t="s">
        <v>432</v>
      </c>
    </row>
    <row r="11" spans="1:7" ht="48" x14ac:dyDescent="0.3">
      <c r="A11" s="292"/>
      <c r="B11" s="293" t="s">
        <v>342</v>
      </c>
    </row>
    <row r="12" spans="1:7" ht="36" x14ac:dyDescent="0.3">
      <c r="B12" s="294" t="s">
        <v>343</v>
      </c>
    </row>
  </sheetData>
  <sheetProtection algorithmName="SHA-512" hashValue="l263SvTSmrk5nwnfYMsrRvbfvNnfCHmGrg0uX7KIEM+bEc/S+d/9Glk3kq4XabDVCPLBMC0WJnSNR0dhOAYa6A==" saltValue="cNMH1e9WtXkSfd+oxwIJjA==" spinCount="100000" sheet="1" objects="1" scenarios="1"/>
  <conditionalFormatting sqref="B3:B4">
    <cfRule type="expression" dxfId="103" priority="2">
      <formula>ISNUMBER(SEARCH("Klaida", B3))</formula>
    </cfRule>
  </conditionalFormatting>
  <pageMargins left="0.70866141732283472" right="0.70866141732283472" top="0.74803149606299213" bottom="0.74803149606299213" header="0.31496062992125984" footer="0.31496062992125984"/>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4"/>
  <sheetViews>
    <sheetView zoomScale="84" zoomScaleNormal="130" workbookViewId="0">
      <selection activeCell="C17" sqref="C17"/>
    </sheetView>
  </sheetViews>
  <sheetFormatPr defaultColWidth="8.88671875" defaultRowHeight="14.4" x14ac:dyDescent="0.3"/>
  <cols>
    <col min="1" max="1" width="9.109375" style="63" customWidth="1"/>
    <col min="2" max="2" width="34.6640625" style="63" customWidth="1"/>
    <col min="3" max="3" width="18.88671875" style="63" customWidth="1"/>
    <col min="4" max="5" width="18.33203125" style="63" customWidth="1"/>
    <col min="6" max="6" width="4.109375" style="62" customWidth="1"/>
    <col min="7" max="7" width="53.109375" style="62" customWidth="1"/>
    <col min="8" max="8" width="8.88671875" style="62"/>
    <col min="9" max="9" width="10.109375" style="62" bestFit="1" customWidth="1"/>
    <col min="10" max="10" width="9.44140625" style="62" customWidth="1"/>
    <col min="11" max="16384" width="8.88671875" style="62"/>
  </cols>
  <sheetData>
    <row r="1" spans="1:11" x14ac:dyDescent="0.3">
      <c r="E1" s="258" t="str">
        <f>_xlfn.CONCAT("Versija: ",Forma!$C$2,TEXT(Parametrai!$C$2,".000"))</f>
        <v>Versija: L2.000</v>
      </c>
      <c r="G1" s="299" t="s">
        <v>224</v>
      </c>
    </row>
    <row r="2" spans="1:11" ht="25.2" customHeight="1" x14ac:dyDescent="0.3">
      <c r="A2" s="441"/>
      <c r="B2" s="441"/>
      <c r="C2" s="441"/>
      <c r="D2" s="441"/>
      <c r="E2" s="441"/>
      <c r="G2" s="300" t="s">
        <v>877</v>
      </c>
    </row>
    <row r="3" spans="1:11" x14ac:dyDescent="0.3">
      <c r="C3" s="72" t="s">
        <v>225</v>
      </c>
      <c r="D3" s="72"/>
      <c r="G3" s="267"/>
    </row>
    <row r="4" spans="1:11" ht="25.2" customHeight="1" x14ac:dyDescent="0.3">
      <c r="A4" s="444"/>
      <c r="B4" s="444"/>
      <c r="C4" s="444"/>
      <c r="D4" s="444"/>
      <c r="E4" s="444"/>
      <c r="G4" s="267" t="s">
        <v>878</v>
      </c>
    </row>
    <row r="5" spans="1:11" x14ac:dyDescent="0.3">
      <c r="C5" s="72" t="s">
        <v>845</v>
      </c>
      <c r="D5" s="72"/>
      <c r="G5" s="267"/>
    </row>
    <row r="6" spans="1:11" ht="10.199999999999999" customHeight="1" x14ac:dyDescent="0.3">
      <c r="C6" s="72"/>
      <c r="D6" s="72"/>
      <c r="G6" s="267"/>
    </row>
    <row r="7" spans="1:11" ht="47.25" customHeight="1" x14ac:dyDescent="0.3">
      <c r="A7" s="446" t="s">
        <v>876</v>
      </c>
      <c r="B7" s="446"/>
      <c r="C7" s="446"/>
      <c r="D7" s="446"/>
      <c r="E7" s="446"/>
      <c r="G7" s="410"/>
    </row>
    <row r="8" spans="1:11" ht="10.199999999999999" customHeight="1" x14ac:dyDescent="0.3">
      <c r="A8" s="454"/>
      <c r="B8" s="454"/>
      <c r="C8" s="454"/>
      <c r="D8" s="454"/>
      <c r="E8" s="454"/>
      <c r="G8" s="267"/>
    </row>
    <row r="9" spans="1:11" ht="45.6" customHeight="1" x14ac:dyDescent="0.3">
      <c r="A9" s="445" t="str">
        <f>Parametrai!C6</f>
        <v xml:space="preserve">VERSLO PLANAS, TEIKIAMAS PAGAL JONAVOS RAJONO SAVIVALDYBĖS VIETOS VEIKLOS GRUPĖS VIETOS PLĖTROS STRATEGIJOS PRIEMONĘ SOCIALINIS VERSLAS (PRIEMONĖS PAVADINIMAS) Nr. JONA-LEADER-20VVG-06-04                                                                          </v>
      </c>
      <c r="B9" s="445"/>
      <c r="C9" s="445"/>
      <c r="D9" s="445"/>
      <c r="E9" s="445"/>
      <c r="G9" s="267"/>
    </row>
    <row r="10" spans="1:11" ht="10.199999999999999" customHeight="1" x14ac:dyDescent="0.3">
      <c r="A10" s="59"/>
      <c r="G10" s="267"/>
    </row>
    <row r="11" spans="1:11" s="65" customFormat="1" ht="14.85" customHeight="1" x14ac:dyDescent="0.3">
      <c r="A11" s="59"/>
      <c r="B11" s="63"/>
      <c r="C11" s="319"/>
      <c r="D11" s="63"/>
      <c r="E11" s="63"/>
      <c r="G11" s="88" t="str">
        <f>IF(C11="","Klaida! Įveskite datą.","ok")</f>
        <v>Klaida! Įveskite datą.</v>
      </c>
      <c r="H11" s="62"/>
      <c r="I11" s="62"/>
      <c r="J11" s="62"/>
      <c r="K11" s="62"/>
    </row>
    <row r="12" spans="1:11" s="65" customFormat="1" ht="14.85" customHeight="1" x14ac:dyDescent="0.3">
      <c r="A12" s="63"/>
      <c r="B12" s="63"/>
      <c r="C12" s="69" t="s">
        <v>222</v>
      </c>
      <c r="D12" s="63"/>
      <c r="E12" s="63"/>
      <c r="G12" s="267"/>
      <c r="H12" s="62"/>
      <c r="I12" s="62"/>
      <c r="J12" s="62"/>
      <c r="K12" s="62"/>
    </row>
    <row r="13" spans="1:11" s="65" customFormat="1" ht="15.6" x14ac:dyDescent="0.3">
      <c r="A13" s="59"/>
      <c r="B13" s="63"/>
      <c r="C13" s="320"/>
      <c r="D13" s="63"/>
      <c r="E13" s="63"/>
      <c r="G13" s="267"/>
      <c r="H13" s="62"/>
      <c r="I13" s="62"/>
      <c r="J13" s="62"/>
      <c r="K13" s="62"/>
    </row>
    <row r="14" spans="1:11" ht="15.6" x14ac:dyDescent="0.3">
      <c r="A14" s="59"/>
      <c r="C14" s="70" t="s">
        <v>223</v>
      </c>
      <c r="D14" s="69"/>
      <c r="G14" s="267"/>
    </row>
    <row r="15" spans="1:11" x14ac:dyDescent="0.3">
      <c r="A15" s="121" t="s">
        <v>0</v>
      </c>
      <c r="B15" s="442" t="s">
        <v>161</v>
      </c>
      <c r="C15" s="442"/>
      <c r="D15" s="442"/>
      <c r="E15" s="442"/>
      <c r="G15" s="267"/>
    </row>
    <row r="16" spans="1:11" x14ac:dyDescent="0.3">
      <c r="A16" s="122" t="s">
        <v>1</v>
      </c>
      <c r="B16" s="447" t="s">
        <v>172</v>
      </c>
      <c r="C16" s="447"/>
      <c r="D16" s="447"/>
      <c r="E16" s="447"/>
      <c r="G16" s="267"/>
    </row>
    <row r="17" spans="1:7" ht="24.75" customHeight="1" x14ac:dyDescent="0.3">
      <c r="A17" s="73" t="s">
        <v>2</v>
      </c>
      <c r="B17" s="64" t="s">
        <v>232</v>
      </c>
      <c r="C17" s="363"/>
      <c r="D17" s="448"/>
      <c r="E17" s="449"/>
      <c r="G17" s="77" t="str">
        <f>IF(OR(C17="",C17&lt;'1'!C11),"Klaida: Neįvesta arba neteisingai įvesta data. Projektas gali būti įgyvendinamas tik po paraiškos pateikimo","ok")</f>
        <v>Klaida: Neįvesta arba neteisingai įvesta data. Projektas gali būti įgyvendinamas tik po paraiškos pateikimo</v>
      </c>
    </row>
    <row r="18" spans="1:7" ht="19.2" customHeight="1" x14ac:dyDescent="0.3">
      <c r="A18" s="73" t="s">
        <v>165</v>
      </c>
      <c r="B18" s="64" t="s">
        <v>231</v>
      </c>
      <c r="C18" s="363"/>
      <c r="D18" s="450"/>
      <c r="E18" s="451"/>
      <c r="G18" s="88" t="str">
        <f>IF(C17=0,"Klaida! Įveskite datą.",IF(OR(AND($C$18&gt;Parametrai!$C$16,Parametrai!$C$16&lt;&gt;0),C19&gt;Parametrai!$C$14),"Klaida: Neįvestas arba įvestas per ilgas projekto įgyvendinimo laikotarpis","ok"))</f>
        <v>Klaida! Įveskite datą.</v>
      </c>
    </row>
    <row r="19" spans="1:7" ht="19.2" customHeight="1" thickBot="1" x14ac:dyDescent="0.35">
      <c r="A19" s="75" t="s">
        <v>167</v>
      </c>
      <c r="B19" s="76" t="s">
        <v>227</v>
      </c>
      <c r="C19" s="361" t="str">
        <f>IF(C17=0,"-",IFERROR(IF(DAY(C18) &lt; DAY(C17), 1 + DATEDIF(C17, C18, "M") + (DAY(C18) - DAY(C17) + 1) / DAY(EOMONTH(C17,0)),DATEDIF(C17, C18, "M") + (DAY(C18) - DAY(C17) + 1) / DAY(EOMONTH(C17,0))),"-"))</f>
        <v>-</v>
      </c>
      <c r="D19" s="452"/>
      <c r="E19" s="453"/>
      <c r="G19" s="267" t="str">
        <f>_xlfn.CONCAT("Vėliausia projekto įgyvendinimo pabaigos data: ", TEXT(IF(Parametrai!$C$16&lt;&gt;0, MIN(Parametrai!$C$16, EDATE($C$17, Parametrai!$C$14)-1), EDATE($C$17, Parametrai!$C$14)-1), "yyyy-mm-dd"))</f>
        <v>Vėliausia projekto įgyvendinimo pabaigos data: 1902-12-30</v>
      </c>
    </row>
    <row r="20" spans="1:7" ht="15" thickTop="1" x14ac:dyDescent="0.3">
      <c r="A20" s="121" t="s">
        <v>3</v>
      </c>
      <c r="B20" s="443" t="s">
        <v>162</v>
      </c>
      <c r="C20" s="443"/>
      <c r="D20" s="443"/>
      <c r="E20" s="443"/>
      <c r="G20" s="267"/>
    </row>
    <row r="21" spans="1:7" ht="30" customHeight="1" x14ac:dyDescent="0.3">
      <c r="A21" s="71" t="s">
        <v>169</v>
      </c>
      <c r="B21" s="71" t="s">
        <v>905</v>
      </c>
      <c r="C21" s="438" t="s">
        <v>164</v>
      </c>
      <c r="D21" s="439"/>
      <c r="E21" s="440"/>
      <c r="G21" s="267" t="s">
        <v>596</v>
      </c>
    </row>
    <row r="22" spans="1:7" ht="28.8" x14ac:dyDescent="0.3">
      <c r="A22" s="71" t="s">
        <v>170</v>
      </c>
      <c r="B22" s="71" t="s">
        <v>166</v>
      </c>
      <c r="C22" s="316" t="s">
        <v>164</v>
      </c>
      <c r="D22" s="260" t="str">
        <f>IF(C22="Verslo pradžia","Ūkio subjekto registravimo data","")</f>
        <v/>
      </c>
      <c r="E22" s="278"/>
      <c r="G22" s="267" t="str">
        <f>IF(LEN(C22)&lt;=2,"Pildoma pasirinkus reikšmę iš sąrašo",IF(AND(C22="Verslo pradžia",E22=""),"Klaida! Įveskite ūkio subjekto registravimo pradžią","ok"))</f>
        <v>Pildoma pasirinkus reikšmę iš sąrašo</v>
      </c>
    </row>
    <row r="23" spans="1:7" ht="30.75" customHeight="1" x14ac:dyDescent="0.3">
      <c r="A23" s="63" t="s">
        <v>887</v>
      </c>
      <c r="B23" s="63" t="s">
        <v>284</v>
      </c>
      <c r="C23" s="362" t="str" cm="1">
        <f t="array" ref="C23">IFERROR(_xlfn.UNIQUE(_xlfn._xlws.FILTER('4'!D:D, ('4'!$B:$B="Veiklos kodas ir pavadinimas pagal EVRK")*('4'!$D:$D&lt;&gt;"")))," –")</f>
        <v xml:space="preserve"> –</v>
      </c>
      <c r="D23" s="268"/>
      <c r="E23" s="268"/>
      <c r="G23" s="301" t="s">
        <v>846</v>
      </c>
    </row>
    <row r="24" spans="1:7" x14ac:dyDescent="0.3">
      <c r="C24" s="267"/>
      <c r="D24" s="268"/>
      <c r="E24" s="268"/>
      <c r="G24" s="267"/>
    </row>
    <row r="25" spans="1:7" ht="189" customHeight="1" x14ac:dyDescent="0.3">
      <c r="B25" s="437" t="s">
        <v>902</v>
      </c>
      <c r="C25" s="437"/>
      <c r="D25" s="437"/>
      <c r="E25" s="437"/>
      <c r="G25" s="300"/>
    </row>
    <row r="26" spans="1:7" x14ac:dyDescent="0.3">
      <c r="C26" s="267"/>
      <c r="D26" s="269"/>
      <c r="E26" s="269"/>
      <c r="G26" s="300"/>
    </row>
    <row r="27" spans="1:7" x14ac:dyDescent="0.3">
      <c r="C27" s="267"/>
      <c r="D27" s="268"/>
      <c r="E27" s="268"/>
      <c r="G27" s="300"/>
    </row>
    <row r="28" spans="1:7" x14ac:dyDescent="0.3">
      <c r="C28" s="267"/>
      <c r="D28" s="268"/>
      <c r="E28" s="268"/>
      <c r="G28" s="300"/>
    </row>
    <row r="29" spans="1:7" x14ac:dyDescent="0.3">
      <c r="C29" s="267"/>
      <c r="D29" s="268"/>
      <c r="E29" s="268"/>
      <c r="G29" s="300"/>
    </row>
    <row r="30" spans="1:7" x14ac:dyDescent="0.3">
      <c r="C30" s="267"/>
      <c r="D30" s="268"/>
      <c r="E30" s="268"/>
      <c r="G30" s="300"/>
    </row>
    <row r="31" spans="1:7" x14ac:dyDescent="0.3">
      <c r="C31" s="267"/>
      <c r="D31" s="268"/>
      <c r="E31" s="268"/>
      <c r="G31" s="300"/>
    </row>
    <row r="32" spans="1:7" x14ac:dyDescent="0.3">
      <c r="C32" s="267"/>
      <c r="D32" s="268"/>
      <c r="E32" s="268"/>
      <c r="G32" s="300"/>
    </row>
    <row r="33" spans="3:5" x14ac:dyDescent="0.3">
      <c r="C33" s="62"/>
      <c r="D33" s="62"/>
      <c r="E33" s="62"/>
    </row>
    <row r="34" spans="3:5" x14ac:dyDescent="0.3">
      <c r="C34" s="62"/>
      <c r="D34" s="62"/>
      <c r="E34" s="62"/>
    </row>
  </sheetData>
  <sheetProtection algorithmName="SHA-512" hashValue="Dlpvuh6KSRKFKv9RiOn4U4BHtL2dr8XIC4hhorjMCznHGe9qcT5H39dUNPh2/rWhRcGjTBE7JXq/UbFMUTGDXA==" saltValue="Xc+VvPwfv2aA/3dIamNJfA==" spinCount="100000" sheet="1" objects="1" scenarios="1" formatRows="0"/>
  <mergeCells count="11">
    <mergeCell ref="B25:E25"/>
    <mergeCell ref="C21:E21"/>
    <mergeCell ref="A2:E2"/>
    <mergeCell ref="B15:E15"/>
    <mergeCell ref="B20:E20"/>
    <mergeCell ref="A4:E4"/>
    <mergeCell ref="A9:E9"/>
    <mergeCell ref="A7:E7"/>
    <mergeCell ref="B16:E16"/>
    <mergeCell ref="D17:E19"/>
    <mergeCell ref="A8:E8"/>
  </mergeCells>
  <conditionalFormatting sqref="A23:A34">
    <cfRule type="expression" dxfId="102" priority="5">
      <formula>AND($C23&lt;&gt;0,$C24=0)</formula>
    </cfRule>
    <cfRule type="expression" dxfId="101" priority="6">
      <formula>$C23&lt;&gt;0</formula>
    </cfRule>
  </conditionalFormatting>
  <conditionalFormatting sqref="B23:B34">
    <cfRule type="expression" dxfId="100" priority="8">
      <formula>AND($C23&lt;&gt;0,$C24=0)</formula>
    </cfRule>
  </conditionalFormatting>
  <conditionalFormatting sqref="C23:C24 C26:C32">
    <cfRule type="expression" dxfId="99" priority="1">
      <formula>$C23&lt;&gt;0</formula>
    </cfRule>
  </conditionalFormatting>
  <conditionalFormatting sqref="D22">
    <cfRule type="expression" dxfId="98" priority="2">
      <formula>$C22&lt;&gt;0</formula>
    </cfRule>
    <cfRule type="expression" dxfId="97" priority="111">
      <formula>$C26&lt;&gt;0</formula>
    </cfRule>
  </conditionalFormatting>
  <conditionalFormatting sqref="D23:D24 D26:D32">
    <cfRule type="expression" dxfId="96" priority="9">
      <formula>$C23&lt;&gt;0</formula>
    </cfRule>
  </conditionalFormatting>
  <conditionalFormatting sqref="E22">
    <cfRule type="expression" dxfId="95" priority="113">
      <formula>$C26&lt;&gt;0</formula>
    </cfRule>
  </conditionalFormatting>
  <conditionalFormatting sqref="E23:E24 E26:E32">
    <cfRule type="expression" dxfId="94" priority="11">
      <formula>$C23&lt;&gt;0</formula>
    </cfRule>
  </conditionalFormatting>
  <conditionalFormatting sqref="G2:G32">
    <cfRule type="expression" dxfId="93"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Konstantos!$A$14:$A$16</xm:f>
          </x14:formula1>
          <xm:sqref>C22</xm:sqref>
        </x14:dataValidation>
        <x14:dataValidation type="list" allowBlank="1" showInputMessage="1" showErrorMessage="1" xr:uid="{EEEFE40B-072D-4BC1-A702-5EE2B0FD2F7D}">
          <x14:formula1>
            <xm:f>Konstantos!$A$24:$A$27</xm:f>
          </x14:formula1>
          <xm:sqref>C21:E21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30"/>
  <sheetViews>
    <sheetView zoomScale="69" zoomScaleNormal="130" workbookViewId="0">
      <selection activeCell="M8" sqref="M8"/>
    </sheetView>
  </sheetViews>
  <sheetFormatPr defaultColWidth="8.88671875" defaultRowHeight="14.4" x14ac:dyDescent="0.3"/>
  <cols>
    <col min="1" max="1" width="8.109375" style="67" customWidth="1"/>
    <col min="2" max="2" width="32.33203125" style="67" customWidth="1"/>
    <col min="3" max="3" width="10.5546875" style="67" customWidth="1"/>
    <col min="4" max="4" width="9" style="67" customWidth="1"/>
    <col min="5" max="11" width="9" style="66" customWidth="1"/>
    <col min="12" max="12" width="4.44140625" style="66" customWidth="1"/>
    <col min="13" max="13" width="47.5546875" style="66" customWidth="1"/>
    <col min="14" max="16384" width="8.88671875" style="66"/>
  </cols>
  <sheetData>
    <row r="1" spans="1:13" s="62" customFormat="1" ht="14.85" customHeight="1" x14ac:dyDescent="0.3">
      <c r="A1" s="121" t="s">
        <v>6</v>
      </c>
      <c r="B1" s="460" t="s">
        <v>542</v>
      </c>
      <c r="C1" s="461"/>
      <c r="D1" s="461"/>
      <c r="E1" s="461"/>
      <c r="F1" s="461"/>
      <c r="G1" s="461"/>
      <c r="H1" s="461"/>
      <c r="I1" s="461"/>
      <c r="J1" s="461"/>
      <c r="K1" s="461"/>
      <c r="M1" s="299" t="s">
        <v>224</v>
      </c>
    </row>
    <row r="2" spans="1:13" s="62" customFormat="1" ht="144" customHeight="1" x14ac:dyDescent="0.3">
      <c r="A2" s="64" t="s">
        <v>181</v>
      </c>
      <c r="B2" s="64" t="s">
        <v>879</v>
      </c>
      <c r="C2" s="455"/>
      <c r="D2" s="455"/>
      <c r="E2" s="455"/>
      <c r="F2" s="455"/>
      <c r="G2" s="455"/>
      <c r="H2" s="455"/>
      <c r="I2" s="455"/>
      <c r="J2" s="455"/>
      <c r="K2" s="455"/>
      <c r="M2" s="302" t="s">
        <v>891</v>
      </c>
    </row>
    <row r="3" spans="1:13" s="62" customFormat="1" ht="43.5" customHeight="1" x14ac:dyDescent="0.3">
      <c r="A3" s="64" t="s">
        <v>182</v>
      </c>
      <c r="B3" s="64" t="s">
        <v>889</v>
      </c>
      <c r="C3" s="482"/>
      <c r="D3" s="483"/>
      <c r="E3" s="483"/>
      <c r="F3" s="483"/>
      <c r="G3" s="483"/>
      <c r="H3" s="483"/>
      <c r="I3" s="483"/>
      <c r="J3" s="483"/>
      <c r="K3" s="484"/>
      <c r="M3" s="302" t="s">
        <v>890</v>
      </c>
    </row>
    <row r="4" spans="1:13" s="62" customFormat="1" ht="174.75" customHeight="1" x14ac:dyDescent="0.3">
      <c r="A4" s="64" t="s">
        <v>888</v>
      </c>
      <c r="B4" s="64" t="s">
        <v>892</v>
      </c>
      <c r="C4" s="455"/>
      <c r="D4" s="455"/>
      <c r="E4" s="455"/>
      <c r="F4" s="455"/>
      <c r="G4" s="455"/>
      <c r="H4" s="455"/>
      <c r="I4" s="455"/>
      <c r="J4" s="455"/>
      <c r="K4" s="455"/>
      <c r="M4" s="303" t="s">
        <v>893</v>
      </c>
    </row>
    <row r="5" spans="1:13" s="62" customFormat="1" ht="9.6" customHeight="1" x14ac:dyDescent="0.3">
      <c r="M5" s="66"/>
    </row>
    <row r="6" spans="1:13" ht="30" customHeight="1" x14ac:dyDescent="0.3">
      <c r="A6" s="121" t="s">
        <v>7</v>
      </c>
      <c r="B6" s="456" t="s">
        <v>544</v>
      </c>
      <c r="C6" s="457"/>
      <c r="D6" s="457"/>
      <c r="E6" s="457"/>
      <c r="F6" s="457"/>
      <c r="G6" s="457"/>
      <c r="H6" s="457"/>
      <c r="I6" s="457"/>
      <c r="J6" s="457"/>
      <c r="K6" s="457"/>
    </row>
    <row r="7" spans="1:13" ht="14.85" customHeight="1" x14ac:dyDescent="0.3">
      <c r="A7" s="121" t="s">
        <v>183</v>
      </c>
      <c r="B7" s="443" t="s">
        <v>249</v>
      </c>
      <c r="C7" s="443"/>
      <c r="D7" s="443"/>
      <c r="E7" s="443"/>
      <c r="F7" s="443"/>
      <c r="G7" s="443"/>
      <c r="H7" s="443"/>
      <c r="I7" s="443"/>
      <c r="J7" s="443"/>
      <c r="K7" s="443"/>
    </row>
    <row r="8" spans="1:13" x14ac:dyDescent="0.3">
      <c r="A8" s="121" t="s">
        <v>221</v>
      </c>
      <c r="B8" s="480" t="s">
        <v>239</v>
      </c>
      <c r="C8" s="480"/>
      <c r="D8" s="480"/>
      <c r="E8" s="480"/>
      <c r="F8" s="480"/>
      <c r="G8" s="480"/>
      <c r="H8" s="480"/>
      <c r="I8" s="480"/>
      <c r="J8" s="480"/>
      <c r="K8" s="480"/>
      <c r="M8" s="269"/>
    </row>
    <row r="9" spans="1:13" ht="63" customHeight="1" x14ac:dyDescent="0.3">
      <c r="A9" s="459" t="s">
        <v>235</v>
      </c>
      <c r="B9" s="459"/>
      <c r="C9" s="459"/>
      <c r="D9" s="459"/>
      <c r="E9" s="459"/>
      <c r="F9" s="459"/>
      <c r="G9" s="459"/>
      <c r="H9" s="459"/>
      <c r="I9" s="459"/>
      <c r="J9" s="459"/>
      <c r="K9" s="459"/>
      <c r="M9" s="269"/>
    </row>
    <row r="10" spans="1:13" ht="30.6" customHeight="1" x14ac:dyDescent="0.3">
      <c r="A10" s="472" t="s">
        <v>21</v>
      </c>
      <c r="B10" s="474" t="s">
        <v>43</v>
      </c>
      <c r="C10" s="126" t="str">
        <f>IF(AND('1'!$C$22="Verslo pradžia",YEAR('1'!$E$22)=YEAR('1'!$C$11)),"Pradžios metai","Ataskaitiniai metai")</f>
        <v>Ataskaitiniai metai</v>
      </c>
      <c r="D10" s="476" t="s">
        <v>11</v>
      </c>
      <c r="E10" s="477"/>
      <c r="F10" s="477"/>
      <c r="G10" s="477"/>
      <c r="H10" s="477"/>
      <c r="I10" s="477"/>
      <c r="J10" s="477"/>
      <c r="K10" s="477"/>
      <c r="M10" s="269"/>
    </row>
    <row r="11" spans="1:13" ht="15" thickBot="1" x14ac:dyDescent="0.35">
      <c r="A11" s="473"/>
      <c r="B11" s="475"/>
      <c r="C11" s="364">
        <f>IF(C10="Pradžios metai",YEAR('1'!$E$22),IF((YEAR('1'!$C$11)-1)+COUNT(B11:$B11)&gt;YEAR('1'!$C$18)+Parametrai!$C$15,"-",(YEAR('1'!$C$11)-1)+COUNT(B11:$B11)))</f>
        <v>1899</v>
      </c>
      <c r="D11" s="364">
        <f>IF(D10="Pradžios metai",YEAR('1'!$E$22),IF((YEAR('1'!$C$11)-1)+COUNT($B11:C11)&gt;YEAR('1'!$C$18)+Parametrai!$C$15,"-",(YEAR('1'!$C$11)-1)+COUNT($B11:C11)))</f>
        <v>1900</v>
      </c>
      <c r="E11" s="364">
        <f>IF(E10="Pradžios metai",YEAR('1'!$E$22),IF((YEAR('1'!$C$11)-1)+COUNT($B11:D11)&gt;YEAR('1'!$C$18)+Parametrai!$C$15,"-",(YEAR('1'!$C$11)-1)+COUNT($B11:D11)))</f>
        <v>1901</v>
      </c>
      <c r="F11" s="364">
        <f>IF(F10="Pradžios metai",YEAR('1'!$E$22),IF((YEAR('1'!$C$11)-1)+COUNT($B11:E11)&gt;YEAR('1'!$C$18)+Parametrai!$C$15,"-",(YEAR('1'!$C$11)-1)+COUNT($B11:E11)))</f>
        <v>1902</v>
      </c>
      <c r="G11" s="364">
        <f>IF(G10="Pradžios metai",YEAR('1'!$E$22),IF((YEAR('1'!$C$11)-1)+COUNT($B11:F11)&gt;YEAR('1'!$C$18)+Parametrai!$C$15,"-",(YEAR('1'!$C$11)-1)+COUNT($B11:F11)))</f>
        <v>1903</v>
      </c>
      <c r="H11" s="364" t="str">
        <f>IF(H10="Pradžios metai",YEAR('1'!$E$22),IF((YEAR('1'!$C$11)-1)+COUNT($B11:G11)&gt;YEAR('1'!$C$18)+Parametrai!$C$15,"-",(YEAR('1'!$C$11)-1)+COUNT($B11:G11)))</f>
        <v>-</v>
      </c>
      <c r="I11" s="364" t="str">
        <f>IF(I10="Pradžios metai",YEAR('1'!$E$22),IF((YEAR('1'!$C$11)-1)+COUNT($B11:H11)&gt;YEAR('1'!$C$18)+Parametrai!$C$15,"-",(YEAR('1'!$C$11)-1)+COUNT($B11:H11)))</f>
        <v>-</v>
      </c>
      <c r="J11" s="364" t="str">
        <f>IF(J10="Pradžios metai",YEAR('1'!$E$22),IF((YEAR('1'!$C$11)-1)+COUNT($B11:I11)&gt;YEAR('1'!$C$18)+Parametrai!$C$15,"-",(YEAR('1'!$C$11)-1)+COUNT($B11:I11)))</f>
        <v>-</v>
      </c>
      <c r="K11" s="364" t="str">
        <f>IF(K10="Pradžios metai",YEAR('1'!$E$22),IF((YEAR('1'!$C$11)-1)+COUNT($B11:J11)&gt;YEAR('1'!$C$18)+Parametrai!$C$15,"-",(YEAR('1'!$C$11)-1)+COUNT($B11:J11)))</f>
        <v>-</v>
      </c>
      <c r="M11" s="269"/>
    </row>
    <row r="12" spans="1:13" ht="15" thickTop="1" x14ac:dyDescent="0.3">
      <c r="A12" s="68" t="s">
        <v>250</v>
      </c>
      <c r="B12" s="68" t="s">
        <v>241</v>
      </c>
      <c r="C12" s="321"/>
      <c r="D12" s="321"/>
      <c r="E12" s="321"/>
      <c r="F12" s="321"/>
      <c r="G12" s="321"/>
      <c r="H12" s="321"/>
      <c r="I12" s="321"/>
      <c r="J12" s="321"/>
      <c r="K12" s="321"/>
      <c r="M12" s="269"/>
    </row>
    <row r="13" spans="1:13" ht="28.8" x14ac:dyDescent="0.3">
      <c r="A13" s="64" t="s">
        <v>253</v>
      </c>
      <c r="B13" s="64" t="s">
        <v>240</v>
      </c>
      <c r="C13" s="365" t="str">
        <f>IFERROR(C14/C12,"-")</f>
        <v>-</v>
      </c>
      <c r="D13" s="322"/>
      <c r="E13" s="322"/>
      <c r="F13" s="322"/>
      <c r="G13" s="322"/>
      <c r="H13" s="322"/>
      <c r="I13" s="322"/>
      <c r="J13" s="322"/>
      <c r="K13" s="322"/>
      <c r="M13" s="269"/>
    </row>
    <row r="14" spans="1:13" ht="28.8" x14ac:dyDescent="0.3">
      <c r="A14" s="64" t="s">
        <v>254</v>
      </c>
      <c r="B14" s="64" t="s">
        <v>242</v>
      </c>
      <c r="C14" s="322"/>
      <c r="D14" s="366">
        <f>D12*D13</f>
        <v>0</v>
      </c>
      <c r="E14" s="366">
        <f t="shared" ref="E14:K14" si="0">E12*E13</f>
        <v>0</v>
      </c>
      <c r="F14" s="366">
        <f t="shared" si="0"/>
        <v>0</v>
      </c>
      <c r="G14" s="366">
        <f t="shared" si="0"/>
        <v>0</v>
      </c>
      <c r="H14" s="366">
        <f t="shared" si="0"/>
        <v>0</v>
      </c>
      <c r="I14" s="366">
        <f t="shared" si="0"/>
        <v>0</v>
      </c>
      <c r="J14" s="366">
        <f t="shared" si="0"/>
        <v>0</v>
      </c>
      <c r="K14" s="366">
        <f t="shared" si="0"/>
        <v>0</v>
      </c>
      <c r="M14" s="269" t="s">
        <v>847</v>
      </c>
    </row>
    <row r="15" spans="1:13" ht="29.4" thickBot="1" x14ac:dyDescent="0.35">
      <c r="A15" s="76" t="s">
        <v>255</v>
      </c>
      <c r="B15" s="76" t="s">
        <v>252</v>
      </c>
      <c r="C15" s="458"/>
      <c r="D15" s="458"/>
      <c r="E15" s="458"/>
      <c r="F15" s="458"/>
      <c r="G15" s="458"/>
      <c r="H15" s="458"/>
      <c r="I15" s="458"/>
      <c r="J15" s="458"/>
      <c r="K15" s="458"/>
      <c r="M15" s="300" t="s">
        <v>251</v>
      </c>
    </row>
    <row r="16" spans="1:13" ht="7.2" customHeight="1" thickTop="1" x14ac:dyDescent="0.3">
      <c r="B16" s="66"/>
      <c r="M16" s="269"/>
    </row>
    <row r="17" spans="1:13" ht="14.85" customHeight="1" x14ac:dyDescent="0.3">
      <c r="A17" s="121" t="s">
        <v>256</v>
      </c>
      <c r="B17" s="480" t="s">
        <v>248</v>
      </c>
      <c r="C17" s="480"/>
      <c r="D17" s="480"/>
      <c r="E17" s="480"/>
      <c r="F17" s="480"/>
      <c r="G17" s="480"/>
      <c r="H17" s="480"/>
      <c r="I17" s="480"/>
      <c r="J17" s="480"/>
      <c r="K17" s="480"/>
      <c r="M17" s="269"/>
    </row>
    <row r="18" spans="1:13" ht="40.950000000000003" customHeight="1" x14ac:dyDescent="0.3">
      <c r="A18" s="471" t="s">
        <v>848</v>
      </c>
      <c r="B18" s="471"/>
      <c r="C18" s="471"/>
      <c r="D18" s="471"/>
      <c r="E18" s="471"/>
      <c r="F18" s="471"/>
      <c r="G18" s="471"/>
      <c r="H18" s="471"/>
      <c r="I18" s="471"/>
      <c r="J18" s="471"/>
      <c r="K18" s="471"/>
      <c r="M18" s="269"/>
    </row>
    <row r="19" spans="1:13" ht="52.2" customHeight="1" thickBot="1" x14ac:dyDescent="0.35">
      <c r="A19" s="123" t="s">
        <v>21</v>
      </c>
      <c r="B19" s="124" t="s">
        <v>238</v>
      </c>
      <c r="C19" s="468" t="s">
        <v>237</v>
      </c>
      <c r="D19" s="468"/>
      <c r="E19" s="468" t="s">
        <v>243</v>
      </c>
      <c r="F19" s="468"/>
      <c r="G19" s="468"/>
      <c r="H19" s="468"/>
      <c r="I19" s="124" t="s">
        <v>247</v>
      </c>
      <c r="J19" s="468" t="s">
        <v>236</v>
      </c>
      <c r="K19" s="468"/>
      <c r="M19" s="269"/>
    </row>
    <row r="20" spans="1:13" ht="24.6" thickTop="1" x14ac:dyDescent="0.3">
      <c r="A20" s="255" t="s">
        <v>257</v>
      </c>
      <c r="B20" s="323"/>
      <c r="C20" s="481" t="s">
        <v>164</v>
      </c>
      <c r="D20" s="481"/>
      <c r="E20" s="469"/>
      <c r="F20" s="469"/>
      <c r="G20" s="469"/>
      <c r="H20" s="469"/>
      <c r="I20" s="326"/>
      <c r="J20" s="478"/>
      <c r="K20" s="479"/>
      <c r="M20" s="269" t="s">
        <v>849</v>
      </c>
    </row>
    <row r="21" spans="1:13" x14ac:dyDescent="0.3">
      <c r="A21" s="255" t="s">
        <v>258</v>
      </c>
      <c r="B21" s="324"/>
      <c r="C21" s="466" t="s">
        <v>164</v>
      </c>
      <c r="D21" s="466"/>
      <c r="E21" s="470"/>
      <c r="F21" s="470"/>
      <c r="G21" s="470"/>
      <c r="H21" s="470"/>
      <c r="I21" s="327"/>
      <c r="J21" s="462"/>
      <c r="K21" s="463"/>
      <c r="M21" s="269"/>
    </row>
    <row r="22" spans="1:13" x14ac:dyDescent="0.3">
      <c r="A22" s="255" t="s">
        <v>259</v>
      </c>
      <c r="B22" s="324"/>
      <c r="C22" s="466" t="s">
        <v>164</v>
      </c>
      <c r="D22" s="466"/>
      <c r="E22" s="470"/>
      <c r="F22" s="470"/>
      <c r="G22" s="470"/>
      <c r="H22" s="470"/>
      <c r="I22" s="327"/>
      <c r="J22" s="462"/>
      <c r="K22" s="463"/>
      <c r="M22" s="269"/>
    </row>
    <row r="23" spans="1:13" x14ac:dyDescent="0.3">
      <c r="A23" s="255" t="s">
        <v>260</v>
      </c>
      <c r="B23" s="324"/>
      <c r="C23" s="466" t="s">
        <v>164</v>
      </c>
      <c r="D23" s="466"/>
      <c r="E23" s="470"/>
      <c r="F23" s="470"/>
      <c r="G23" s="470"/>
      <c r="H23" s="470"/>
      <c r="I23" s="327"/>
      <c r="J23" s="462"/>
      <c r="K23" s="463"/>
      <c r="M23" s="269"/>
    </row>
    <row r="24" spans="1:13" x14ac:dyDescent="0.3">
      <c r="A24" s="255" t="s">
        <v>261</v>
      </c>
      <c r="B24" s="324"/>
      <c r="C24" s="466" t="s">
        <v>164</v>
      </c>
      <c r="D24" s="466"/>
      <c r="E24" s="470"/>
      <c r="F24" s="470"/>
      <c r="G24" s="470"/>
      <c r="H24" s="470"/>
      <c r="I24" s="327"/>
      <c r="J24" s="462"/>
      <c r="K24" s="463"/>
      <c r="M24" s="269"/>
    </row>
    <row r="25" spans="1:13" x14ac:dyDescent="0.3">
      <c r="A25" s="255" t="s">
        <v>262</v>
      </c>
      <c r="B25" s="324"/>
      <c r="C25" s="466" t="s">
        <v>164</v>
      </c>
      <c r="D25" s="466"/>
      <c r="E25" s="470"/>
      <c r="F25" s="470"/>
      <c r="G25" s="470"/>
      <c r="H25" s="470"/>
      <c r="I25" s="327"/>
      <c r="J25" s="462"/>
      <c r="K25" s="463"/>
      <c r="M25" s="269"/>
    </row>
    <row r="26" spans="1:13" ht="15" thickBot="1" x14ac:dyDescent="0.35">
      <c r="A26" s="256" t="s">
        <v>263</v>
      </c>
      <c r="B26" s="325"/>
      <c r="C26" s="467" t="s">
        <v>164</v>
      </c>
      <c r="D26" s="467"/>
      <c r="E26" s="485"/>
      <c r="F26" s="485"/>
      <c r="G26" s="485"/>
      <c r="H26" s="485"/>
      <c r="I26" s="328"/>
      <c r="J26" s="464"/>
      <c r="K26" s="465"/>
      <c r="M26" s="269"/>
    </row>
    <row r="27" spans="1:13" ht="15" thickTop="1" x14ac:dyDescent="0.3">
      <c r="A27" s="66"/>
      <c r="B27" s="66"/>
      <c r="C27" s="66"/>
      <c r="D27" s="66"/>
    </row>
    <row r="28" spans="1:13" x14ac:dyDescent="0.3">
      <c r="A28" s="121" t="s">
        <v>268</v>
      </c>
      <c r="B28" s="460" t="s">
        <v>234</v>
      </c>
      <c r="C28" s="461"/>
      <c r="D28" s="461"/>
      <c r="E28" s="461"/>
      <c r="F28" s="461"/>
      <c r="G28" s="461"/>
      <c r="H28" s="461"/>
      <c r="I28" s="461"/>
      <c r="J28" s="461"/>
      <c r="K28" s="461"/>
    </row>
    <row r="29" spans="1:13" ht="144" customHeight="1" x14ac:dyDescent="0.3">
      <c r="A29" s="64" t="s">
        <v>269</v>
      </c>
      <c r="B29" s="80" t="s">
        <v>272</v>
      </c>
      <c r="C29" s="455"/>
      <c r="D29" s="455"/>
      <c r="E29" s="455"/>
      <c r="F29" s="455"/>
      <c r="G29" s="455"/>
      <c r="H29" s="455"/>
      <c r="I29" s="455"/>
      <c r="J29" s="455"/>
      <c r="K29" s="455"/>
      <c r="M29" s="303" t="s">
        <v>850</v>
      </c>
    </row>
    <row r="30" spans="1:13" ht="144" customHeight="1" x14ac:dyDescent="0.3">
      <c r="A30" s="64" t="s">
        <v>270</v>
      </c>
      <c r="B30" s="80" t="s">
        <v>271</v>
      </c>
      <c r="C30" s="455"/>
      <c r="D30" s="455"/>
      <c r="E30" s="455"/>
      <c r="F30" s="455"/>
      <c r="G30" s="455"/>
      <c r="H30" s="455"/>
      <c r="I30" s="455"/>
      <c r="J30" s="455"/>
      <c r="K30" s="455"/>
      <c r="M30" s="304" t="s">
        <v>330</v>
      </c>
    </row>
  </sheetData>
  <sheetProtection algorithmName="SHA-512" hashValue="75Jz5c/OGggZTGizcyt4dWKFF3IaTU4FdQI39LnJBrfBbUXcFE8SJPfC2upx0qQqVSgBfTOUYeBlV6Q7UrvWEA==" saltValue="EQSFQ67DxoOziooappCcfw==" spinCount="100000" sheet="1" objects="1" scenarios="1" formatRows="0"/>
  <mergeCells count="41">
    <mergeCell ref="C2:K2"/>
    <mergeCell ref="C4:K4"/>
    <mergeCell ref="C3:K3"/>
    <mergeCell ref="E25:H25"/>
    <mergeCell ref="E26:H26"/>
    <mergeCell ref="E19:H19"/>
    <mergeCell ref="C21:D21"/>
    <mergeCell ref="C22:D22"/>
    <mergeCell ref="C23:D23"/>
    <mergeCell ref="B1:K1"/>
    <mergeCell ref="A18:K18"/>
    <mergeCell ref="C24:D24"/>
    <mergeCell ref="A10:A11"/>
    <mergeCell ref="B10:B11"/>
    <mergeCell ref="D10:K10"/>
    <mergeCell ref="J20:K20"/>
    <mergeCell ref="J21:K21"/>
    <mergeCell ref="J22:K22"/>
    <mergeCell ref="J23:K23"/>
    <mergeCell ref="J24:K24"/>
    <mergeCell ref="B17:K17"/>
    <mergeCell ref="B8:K8"/>
    <mergeCell ref="E23:H23"/>
    <mergeCell ref="E24:H24"/>
    <mergeCell ref="C20:D20"/>
    <mergeCell ref="C29:K29"/>
    <mergeCell ref="C30:K30"/>
    <mergeCell ref="B6:K6"/>
    <mergeCell ref="B7:K7"/>
    <mergeCell ref="C15:K15"/>
    <mergeCell ref="A9:K9"/>
    <mergeCell ref="B28:K28"/>
    <mergeCell ref="J25:K25"/>
    <mergeCell ref="J26:K26"/>
    <mergeCell ref="C25:D25"/>
    <mergeCell ref="C26:D26"/>
    <mergeCell ref="C19:D19"/>
    <mergeCell ref="J19:K19"/>
    <mergeCell ref="E20:H20"/>
    <mergeCell ref="E21:H21"/>
    <mergeCell ref="E22:H22"/>
  </mergeCells>
  <phoneticPr fontId="12" type="noConversion"/>
  <conditionalFormatting sqref="C11:K11">
    <cfRule type="expression" dxfId="91" priority="1">
      <formula>C11="-"</formula>
    </cfRule>
  </conditionalFormatting>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AND(C11&gt;=YEAR(Parametrai!$C$13),C11&lt;=MIN(YEAR('1'!$C$18),YEAR(EOMONTH(Parametrai!$C$13,Parametrai!$C$14)),IF(Parametrai!$C$16&lt;&gt;0,YEAR(Parametrai!$C$16),YEAR(EOMONTH(Parametrai!$C$13,Parametrai!$C$14)))))</xm:f>
            <x14:dxf>
              <fill>
                <patternFill>
                  <bgColor rgb="FFFFF0D2"/>
                </patternFill>
              </fill>
            </x14:dxf>
          </x14:cfRule>
          <xm:sqref>C11:K11</xm:sqref>
        </x14:conditionalFormatting>
        <x14:conditionalFormatting xmlns:xm="http://schemas.microsoft.com/office/excel/2006/main">
          <x14:cfRule type="expression" priority="6" id="{5ABA0920-BE4E-4118-8AF1-9BD8196FAB2B}">
            <xm:f>$C20=Konstantos!$A$84</xm:f>
            <x14:dxf>
              <numFmt numFmtId="166" formatCode="0;\-0;&quot;-&quot;"/>
              <fill>
                <patternFill>
                  <bgColor theme="1" tint="0.499984740745262"/>
                </patternFill>
              </fill>
            </x14:dxf>
          </x14:cfRule>
          <xm:sqref>J20:K26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Konstantos!$A$83:$A$86</xm:f>
          </x14:formula1>
          <xm:sqref>C20:C26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110" zoomScaleNormal="110" workbookViewId="0">
      <pane xSplit="3" ySplit="5" topLeftCell="D74" activePane="bottomRight" state="frozen"/>
      <selection pane="topRight" activeCell="D1" sqref="D1"/>
      <selection pane="bottomLeft" activeCell="A6" sqref="A6"/>
      <selection pane="bottomRight" activeCell="D82" sqref="D82:L82"/>
    </sheetView>
  </sheetViews>
  <sheetFormatPr defaultColWidth="8.6640625" defaultRowHeight="14.4" x14ac:dyDescent="0.3"/>
  <cols>
    <col min="1" max="1" width="5.44140625" style="8" customWidth="1"/>
    <col min="2" max="2" width="32.6640625" style="8" customWidth="1"/>
    <col min="3" max="3" width="8.33203125" style="9" customWidth="1"/>
    <col min="4" max="4" width="11.109375" style="8" customWidth="1"/>
    <col min="5" max="5" width="8.33203125" style="8" customWidth="1"/>
    <col min="6" max="6" width="8.6640625" style="8" customWidth="1"/>
    <col min="7" max="7" width="8.33203125" style="8" customWidth="1"/>
    <col min="8" max="8" width="8.44140625" style="8" customWidth="1"/>
    <col min="9" max="10" width="8.5546875" style="8" customWidth="1"/>
    <col min="11" max="11" width="7.6640625" style="8" customWidth="1"/>
    <col min="12" max="12" width="7.88671875" style="8" customWidth="1"/>
    <col min="13" max="13" width="2" style="10" customWidth="1"/>
    <col min="14" max="14" width="50.44140625" style="298" customWidth="1"/>
    <col min="15" max="15" width="7.33203125" style="9" hidden="1" customWidth="1"/>
    <col min="16" max="16" width="7.33203125" style="11" hidden="1" customWidth="1"/>
    <col min="17" max="18" width="7.33203125" style="9" hidden="1" customWidth="1"/>
    <col min="19" max="19" width="7.33203125" hidden="1" customWidth="1"/>
    <col min="20" max="20" width="7.33203125" style="11" hidden="1" customWidth="1"/>
    <col min="21" max="16384" width="8.6640625" style="11"/>
  </cols>
  <sheetData>
    <row r="1" spans="1:20" ht="13.8" x14ac:dyDescent="0.3">
      <c r="N1" s="295" t="s">
        <v>224</v>
      </c>
      <c r="O1" s="83" t="s">
        <v>292</v>
      </c>
      <c r="P1" s="83" t="s">
        <v>293</v>
      </c>
      <c r="Q1" s="83">
        <v>1</v>
      </c>
      <c r="R1" s="83">
        <v>2</v>
      </c>
      <c r="S1" s="95">
        <v>3</v>
      </c>
      <c r="T1" s="93"/>
    </row>
    <row r="2" spans="1:20" s="7" customFormat="1" ht="13.8" x14ac:dyDescent="0.3">
      <c r="A2" s="125" t="s">
        <v>98</v>
      </c>
      <c r="B2" s="486" t="s">
        <v>37</v>
      </c>
      <c r="C2" s="486"/>
      <c r="D2" s="486"/>
      <c r="E2" s="486"/>
      <c r="F2" s="486"/>
      <c r="G2" s="486"/>
      <c r="H2" s="486"/>
      <c r="I2" s="486"/>
      <c r="J2" s="486"/>
      <c r="K2" s="486"/>
      <c r="L2" s="486"/>
      <c r="M2" s="6"/>
      <c r="N2" s="296"/>
      <c r="O2" s="82"/>
      <c r="P2" s="83"/>
      <c r="Q2" s="82"/>
      <c r="R2" s="82"/>
      <c r="S2" s="82"/>
      <c r="T2" s="94"/>
    </row>
    <row r="3" spans="1:20" ht="13.8" x14ac:dyDescent="0.3">
      <c r="N3" s="296"/>
      <c r="O3" s="83"/>
      <c r="P3" s="83"/>
      <c r="Q3" s="82"/>
      <c r="R3" s="83"/>
      <c r="S3" s="95"/>
      <c r="T3" s="93"/>
    </row>
    <row r="4" spans="1:20" ht="22.8" x14ac:dyDescent="0.3">
      <c r="A4" s="487" t="s">
        <v>9</v>
      </c>
      <c r="B4" s="488"/>
      <c r="C4" s="491" t="s">
        <v>10</v>
      </c>
      <c r="D4" s="126" t="str">
        <f>IF(AND('1'!$C$22="Verslo pradžia",YEAR('1'!$E$22)=YEAR('1'!$C$11)),"Pradžios metai","Ataskaitiniai metai")</f>
        <v>Ataskaitiniai metai</v>
      </c>
      <c r="E4" s="476" t="s">
        <v>11</v>
      </c>
      <c r="F4" s="477"/>
      <c r="G4" s="477"/>
      <c r="H4" s="477"/>
      <c r="I4" s="477"/>
      <c r="J4" s="477"/>
      <c r="K4" s="477"/>
      <c r="L4" s="477"/>
      <c r="M4" s="12"/>
      <c r="N4" s="296"/>
      <c r="O4" s="83"/>
      <c r="P4" s="83"/>
      <c r="Q4" s="82"/>
      <c r="R4" s="83"/>
      <c r="S4" s="95"/>
      <c r="T4" s="93"/>
    </row>
    <row r="5" spans="1:20" thickBot="1" x14ac:dyDescent="0.35">
      <c r="A5" s="489"/>
      <c r="B5" s="490"/>
      <c r="C5" s="492"/>
      <c r="D5" s="364">
        <f>IF(D4="Pradžios metai",YEAR('1'!$E$22),IF((YEAR('1'!$C$11)-1)+COUNT($C5:C5)&gt;YEAR('1'!$C$18)+Parametrai!$C$15,"-",(YEAR('1'!$C$11)-1)+COUNT($C5:C5)))</f>
        <v>1899</v>
      </c>
      <c r="E5" s="364">
        <f>IF(E4="Pradžios metai",YEAR('1'!$E$22),IF((YEAR('1'!$C$11)-1)+COUNT($C5:D5)&gt;YEAR('1'!$C$18)+Parametrai!$C$15,"-",(YEAR('1'!$C$11)-1)+COUNT($C5:D5)))</f>
        <v>1900</v>
      </c>
      <c r="F5" s="364">
        <f>IF(F4="Pradžios metai",YEAR('1'!$E$22),IF((YEAR('1'!$C$11)-1)+COUNT($C5:E5)&gt;YEAR('1'!$C$18)+Parametrai!$C$15,"-",(YEAR('1'!$C$11)-1)+COUNT($C5:E5)))</f>
        <v>1901</v>
      </c>
      <c r="G5" s="364">
        <f>IF(G4="Pradžios metai",YEAR('1'!$E$22),IF((YEAR('1'!$C$11)-1)+COUNT($C5:F5)&gt;YEAR('1'!$C$18)+Parametrai!$C$15,"-",(YEAR('1'!$C$11)-1)+COUNT($C5:F5)))</f>
        <v>1902</v>
      </c>
      <c r="H5" s="364">
        <f>IF(H4="Pradžios metai",YEAR('1'!$E$22),IF((YEAR('1'!$C$11)-1)+COUNT($C5:G5)&gt;YEAR('1'!$C$18)+Parametrai!$C$15,"-",(YEAR('1'!$C$11)-1)+COUNT($C5:G5)))</f>
        <v>1903</v>
      </c>
      <c r="I5" s="364" t="str">
        <f>IF(I4="Pradžios metai",YEAR('1'!$E$22),IF((YEAR('1'!$C$11)-1)+COUNT($C5:H5)&gt;YEAR('1'!$C$18)+Parametrai!$C$15,"-",(YEAR('1'!$C$11)-1)+COUNT($C5:H5)))</f>
        <v>-</v>
      </c>
      <c r="J5" s="364" t="str">
        <f>IF(J4="Pradžios metai",YEAR('1'!$E$22),IF((YEAR('1'!$C$11)-1)+COUNT($C5:I5)&gt;YEAR('1'!$C$18)+Parametrai!$C$15,"-",(YEAR('1'!$C$11)-1)+COUNT($C5:I5)))</f>
        <v>-</v>
      </c>
      <c r="K5" s="364" t="str">
        <f>IF(K4="Pradžios metai",YEAR('1'!$E$22),IF((YEAR('1'!$C$11)-1)+COUNT($C5:J5)&gt;YEAR('1'!$C$18)+Parametrai!$C$15,"-",(YEAR('1'!$C$11)-1)+COUNT($C5:J5)))</f>
        <v>-</v>
      </c>
      <c r="L5" s="364" t="str">
        <f>IF(L4="Pradžios metai",YEAR('1'!$E$22),IF((YEAR('1'!$C$11)-1)+COUNT($C5:K5)&gt;YEAR('1'!$C$18)+Parametrai!$C$15,"-",(YEAR('1'!$C$11)-1)+COUNT($C5:K5)))</f>
        <v>-</v>
      </c>
      <c r="N5" s="296"/>
      <c r="O5" s="83"/>
      <c r="P5" s="100">
        <v>4</v>
      </c>
      <c r="Q5" s="82"/>
      <c r="R5" s="83"/>
      <c r="S5" s="95"/>
      <c r="T5" s="93"/>
    </row>
    <row r="6" spans="1:20" thickTop="1" x14ac:dyDescent="0.3">
      <c r="A6" s="189" t="str">
        <f>_xlfn.CONCAT($P6, ".", $Q6, IF($R6&lt;&gt;"", _xlfn.CONCAT(".", $R6), ""), ".")</f>
        <v>4.1.</v>
      </c>
      <c r="B6" s="189" t="s">
        <v>13</v>
      </c>
      <c r="C6" s="190" t="s">
        <v>14</v>
      </c>
      <c r="D6" s="191">
        <f>SUM(D7:D9)</f>
        <v>0</v>
      </c>
      <c r="E6" s="191">
        <f t="shared" ref="E6:L6" si="0">SUM(E7:E9)</f>
        <v>0</v>
      </c>
      <c r="F6" s="191">
        <f t="shared" si="0"/>
        <v>0</v>
      </c>
      <c r="G6" s="191">
        <f t="shared" si="0"/>
        <v>0</v>
      </c>
      <c r="H6" s="191">
        <f t="shared" si="0"/>
        <v>0</v>
      </c>
      <c r="I6" s="191">
        <f t="shared" si="0"/>
        <v>0</v>
      </c>
      <c r="J6" s="191">
        <f t="shared" si="0"/>
        <v>0</v>
      </c>
      <c r="K6" s="191">
        <f t="shared" si="0"/>
        <v>0</v>
      </c>
      <c r="L6" s="191">
        <f t="shared" si="0"/>
        <v>0</v>
      </c>
      <c r="N6" s="296"/>
      <c r="O6" s="96">
        <v>1</v>
      </c>
      <c r="P6" s="83">
        <f>+P5</f>
        <v>4</v>
      </c>
      <c r="Q6" s="83">
        <f>COUNTIFS($O$1:$O6,1)</f>
        <v>1</v>
      </c>
      <c r="R6" s="83" t="str">
        <f>IF($O6=$R$1,IF($O6&lt;&gt;$O5, 1, R5+1),"")</f>
        <v/>
      </c>
      <c r="S6" s="83"/>
      <c r="T6" s="93" t="str">
        <f>CONCATENATE($P6, ".", $Q6, IF($R6&lt;&gt;"", CONCATENATE(".", $R6), ""), ".")</f>
        <v>4.1.</v>
      </c>
    </row>
    <row r="7" spans="1:20" ht="13.8" x14ac:dyDescent="0.3">
      <c r="A7" s="127" t="str">
        <f>_xlfn.CONCAT($P7, ".", $Q7, IF($R7&lt;&gt;"", _xlfn.CONCAT(".", $R7), ""), ".")</f>
        <v>4.1.1.</v>
      </c>
      <c r="B7" s="128" t="s">
        <v>280</v>
      </c>
      <c r="C7" s="129" t="s">
        <v>14</v>
      </c>
      <c r="D7" s="173">
        <f t="shared" ref="D7:L7" si="1">SUMIFS(D:D,$B:$B,"Pajamos (gamyba)")</f>
        <v>0</v>
      </c>
      <c r="E7" s="173">
        <f t="shared" si="1"/>
        <v>0</v>
      </c>
      <c r="F7" s="173">
        <f t="shared" si="1"/>
        <v>0</v>
      </c>
      <c r="G7" s="173">
        <f t="shared" si="1"/>
        <v>0</v>
      </c>
      <c r="H7" s="173">
        <f t="shared" si="1"/>
        <v>0</v>
      </c>
      <c r="I7" s="173">
        <f t="shared" si="1"/>
        <v>0</v>
      </c>
      <c r="J7" s="173">
        <f t="shared" si="1"/>
        <v>0</v>
      </c>
      <c r="K7" s="173">
        <f t="shared" si="1"/>
        <v>0</v>
      </c>
      <c r="L7" s="173">
        <f t="shared" si="1"/>
        <v>0</v>
      </c>
      <c r="N7" s="296"/>
      <c r="O7" s="96">
        <v>2</v>
      </c>
      <c r="P7" s="83">
        <f>+P6</f>
        <v>4</v>
      </c>
      <c r="Q7" s="83">
        <f>COUNTIFS($O$1:$O7,1)</f>
        <v>1</v>
      </c>
      <c r="R7" s="83">
        <f t="shared" ref="R7:R16" si="2">IF($O7=$R$1,IF($O7&lt;&gt;$O6, 1, R6+1),"")</f>
        <v>1</v>
      </c>
      <c r="S7" s="83"/>
      <c r="T7" s="93" t="str">
        <f t="shared" ref="T7:T70" si="3">CONCATENATE($P7, ".", $Q7, IF($R7&lt;&gt;"", CONCATENATE(".", $R7), ""), ".")</f>
        <v>4.1.1.</v>
      </c>
    </row>
    <row r="8" spans="1:20" ht="13.8" x14ac:dyDescent="0.3">
      <c r="A8" s="127" t="str">
        <f>_xlfn.CONCAT($P8, ".", $Q8, IF($R8&lt;&gt;"", _xlfn.CONCAT(".", $R8), ""), ".")</f>
        <v>4.1.2.</v>
      </c>
      <c r="B8" s="128" t="s">
        <v>281</v>
      </c>
      <c r="C8" s="129" t="s">
        <v>14</v>
      </c>
      <c r="D8" s="174">
        <f t="shared" ref="D8:L8" si="4">SUMIFS(D:D,$B:$B,"Pajamos (paslaugos)")</f>
        <v>0</v>
      </c>
      <c r="E8" s="174">
        <f t="shared" si="4"/>
        <v>0</v>
      </c>
      <c r="F8" s="174">
        <f t="shared" si="4"/>
        <v>0</v>
      </c>
      <c r="G8" s="174">
        <f t="shared" si="4"/>
        <v>0</v>
      </c>
      <c r="H8" s="174">
        <f t="shared" si="4"/>
        <v>0</v>
      </c>
      <c r="I8" s="174">
        <f t="shared" si="4"/>
        <v>0</v>
      </c>
      <c r="J8" s="174">
        <f t="shared" si="4"/>
        <v>0</v>
      </c>
      <c r="K8" s="174">
        <f t="shared" si="4"/>
        <v>0</v>
      </c>
      <c r="L8" s="174">
        <f t="shared" si="4"/>
        <v>0</v>
      </c>
      <c r="N8" s="296"/>
      <c r="O8" s="96">
        <v>2</v>
      </c>
      <c r="P8" s="83">
        <f t="shared" ref="P8:P16" si="5">+P7</f>
        <v>4</v>
      </c>
      <c r="Q8" s="83">
        <f>COUNTIFS($O$1:$O8,1)</f>
        <v>1</v>
      </c>
      <c r="R8" s="83">
        <f t="shared" si="2"/>
        <v>2</v>
      </c>
      <c r="S8" s="83"/>
      <c r="T8" s="93" t="str">
        <f t="shared" si="3"/>
        <v>4.1.2.</v>
      </c>
    </row>
    <row r="9" spans="1:20" thickBot="1" x14ac:dyDescent="0.35">
      <c r="A9" s="130" t="str">
        <f>_xlfn.CONCAT($P9, ".", $Q9, IF($R9&lt;&gt;"", _xlfn.CONCAT(".", $R9), ""), ".")</f>
        <v>4.1.3.</v>
      </c>
      <c r="B9" s="131" t="s">
        <v>282</v>
      </c>
      <c r="C9" s="132" t="s">
        <v>14</v>
      </c>
      <c r="D9" s="175">
        <f t="shared" ref="D9:L9" si="6">SUMIFS(D:D,$B:$B,"Pajamos (kita veikla)")</f>
        <v>0</v>
      </c>
      <c r="E9" s="175">
        <f t="shared" si="6"/>
        <v>0</v>
      </c>
      <c r="F9" s="175">
        <f t="shared" si="6"/>
        <v>0</v>
      </c>
      <c r="G9" s="175">
        <f t="shared" si="6"/>
        <v>0</v>
      </c>
      <c r="H9" s="175">
        <f t="shared" si="6"/>
        <v>0</v>
      </c>
      <c r="I9" s="175">
        <f t="shared" si="6"/>
        <v>0</v>
      </c>
      <c r="J9" s="175">
        <f t="shared" si="6"/>
        <v>0</v>
      </c>
      <c r="K9" s="175">
        <f t="shared" si="6"/>
        <v>0</v>
      </c>
      <c r="L9" s="175">
        <f t="shared" si="6"/>
        <v>0</v>
      </c>
      <c r="N9" s="296"/>
      <c r="O9" s="96">
        <v>2</v>
      </c>
      <c r="P9" s="83">
        <f t="shared" si="5"/>
        <v>4</v>
      </c>
      <c r="Q9" s="83">
        <f>COUNTIFS($O$1:$O9,1)</f>
        <v>1</v>
      </c>
      <c r="R9" s="83">
        <f t="shared" si="2"/>
        <v>3</v>
      </c>
      <c r="S9" s="83"/>
      <c r="T9" s="93" t="str">
        <f t="shared" si="3"/>
        <v>4.1.3.</v>
      </c>
    </row>
    <row r="10" spans="1:20" thickTop="1" x14ac:dyDescent="0.3">
      <c r="A10" s="57" t="str">
        <f>CONCATENATE($P10, ".", $Q10, IF($R10&lt;&gt;"", CONCATENATE(".", $R10), ""), ".")</f>
        <v>4.2.</v>
      </c>
      <c r="B10" s="188" t="s">
        <v>289</v>
      </c>
      <c r="C10" s="90"/>
      <c r="D10" s="493"/>
      <c r="E10" s="493"/>
      <c r="F10" s="493"/>
      <c r="G10" s="493"/>
      <c r="H10" s="493"/>
      <c r="I10" s="493"/>
      <c r="J10" s="493"/>
      <c r="K10" s="493"/>
      <c r="L10" s="493"/>
      <c r="N10" s="296" t="s">
        <v>851</v>
      </c>
      <c r="O10" s="96">
        <v>1</v>
      </c>
      <c r="P10" s="83">
        <f t="shared" si="5"/>
        <v>4</v>
      </c>
      <c r="Q10" s="83">
        <f>COUNTIFS($O$1:$O10,1)</f>
        <v>2</v>
      </c>
      <c r="R10" s="83" t="str">
        <f t="shared" si="2"/>
        <v/>
      </c>
      <c r="S10" s="83"/>
      <c r="T10" s="93" t="str">
        <f t="shared" si="3"/>
        <v>4.2.</v>
      </c>
    </row>
    <row r="11" spans="1:20" ht="13.8" x14ac:dyDescent="0.3">
      <c r="A11" s="48" t="str">
        <f>CONCATENATE($P11, ".", $Q11, IF($R11&lt;&gt;"", CONCATENATE(".", $R11), ""), ".")</f>
        <v>4.2.1.</v>
      </c>
      <c r="B11" s="98" t="s">
        <v>285</v>
      </c>
      <c r="C11" s="89"/>
      <c r="D11" s="495"/>
      <c r="E11" s="495"/>
      <c r="F11" s="495"/>
      <c r="G11" s="495"/>
      <c r="H11" s="495"/>
      <c r="I11" s="495"/>
      <c r="J11" s="495"/>
      <c r="K11" s="495"/>
      <c r="L11" s="495"/>
      <c r="N11" s="296" t="s">
        <v>852</v>
      </c>
      <c r="O11" s="96">
        <v>2</v>
      </c>
      <c r="P11" s="83">
        <f t="shared" si="5"/>
        <v>4</v>
      </c>
      <c r="Q11" s="83">
        <f>COUNTIFS($O$1:$O11,1)</f>
        <v>2</v>
      </c>
      <c r="R11" s="83">
        <f t="shared" si="2"/>
        <v>1</v>
      </c>
      <c r="S11" s="83"/>
      <c r="T11" s="93" t="str">
        <f t="shared" si="3"/>
        <v>4.2.1.</v>
      </c>
    </row>
    <row r="12" spans="1:20" ht="13.8" x14ac:dyDescent="0.3">
      <c r="A12" s="48" t="str">
        <f t="shared" ref="A12:A75" si="7">CONCATENATE($P12, ".", $Q12, IF($R12&lt;&gt;"", CONCATENATE(".", $R12), ""), ".")</f>
        <v>4.2.2.</v>
      </c>
      <c r="B12" s="22" t="s">
        <v>16</v>
      </c>
      <c r="C12" s="317" t="s">
        <v>19</v>
      </c>
      <c r="D12" s="329"/>
      <c r="E12" s="329"/>
      <c r="F12" s="329"/>
      <c r="G12" s="329"/>
      <c r="H12" s="329"/>
      <c r="I12" s="329"/>
      <c r="J12" s="329"/>
      <c r="K12" s="329"/>
      <c r="L12" s="329"/>
      <c r="N12" s="297" t="s">
        <v>853</v>
      </c>
      <c r="O12" s="96">
        <v>2</v>
      </c>
      <c r="P12" s="83">
        <f t="shared" si="5"/>
        <v>4</v>
      </c>
      <c r="Q12" s="83">
        <f>COUNTIFS($O$1:$O12,1)</f>
        <v>2</v>
      </c>
      <c r="R12" s="83">
        <f t="shared" si="2"/>
        <v>2</v>
      </c>
      <c r="S12" s="83"/>
      <c r="T12" s="93" t="str">
        <f t="shared" si="3"/>
        <v>4.2.2.</v>
      </c>
    </row>
    <row r="13" spans="1:20" ht="13.8" x14ac:dyDescent="0.3">
      <c r="A13" s="48" t="str">
        <f t="shared" si="7"/>
        <v>4.2.3.</v>
      </c>
      <c r="B13" s="22" t="s">
        <v>17</v>
      </c>
      <c r="C13" s="58" t="str">
        <f>+C12</f>
        <v>vnt.</v>
      </c>
      <c r="D13" s="329"/>
      <c r="E13" s="329"/>
      <c r="F13" s="329"/>
      <c r="G13" s="329"/>
      <c r="H13" s="329"/>
      <c r="I13" s="329"/>
      <c r="J13" s="329"/>
      <c r="K13" s="329"/>
      <c r="L13" s="329"/>
      <c r="N13" s="296" t="s">
        <v>854</v>
      </c>
      <c r="O13" s="96">
        <v>2</v>
      </c>
      <c r="P13" s="83">
        <f t="shared" si="5"/>
        <v>4</v>
      </c>
      <c r="Q13" s="83">
        <f>COUNTIFS($O$1:$O13,1)</f>
        <v>2</v>
      </c>
      <c r="R13" s="83">
        <f t="shared" si="2"/>
        <v>3</v>
      </c>
      <c r="S13" s="83"/>
      <c r="T13" s="93" t="str">
        <f t="shared" si="3"/>
        <v>4.2.3.</v>
      </c>
    </row>
    <row r="14" spans="1:20" ht="13.8" x14ac:dyDescent="0.3">
      <c r="A14" s="48" t="str">
        <f t="shared" si="7"/>
        <v>4.2.4.</v>
      </c>
      <c r="B14" s="22" t="s">
        <v>18</v>
      </c>
      <c r="C14" s="14" t="str">
        <f>CONCATENATE("Eur/",C13)</f>
        <v>Eur/vnt.</v>
      </c>
      <c r="D14" s="367" t="str">
        <f>IFERROR(ROUND(D15/D13,2),"-")</f>
        <v>-</v>
      </c>
      <c r="E14" s="330"/>
      <c r="F14" s="330"/>
      <c r="G14" s="330"/>
      <c r="H14" s="330"/>
      <c r="I14" s="330"/>
      <c r="J14" s="330"/>
      <c r="K14" s="330"/>
      <c r="L14" s="330"/>
      <c r="N14" s="296" t="s">
        <v>855</v>
      </c>
      <c r="O14" s="96">
        <v>2</v>
      </c>
      <c r="P14" s="83">
        <f t="shared" si="5"/>
        <v>4</v>
      </c>
      <c r="Q14" s="83">
        <f>COUNTIFS($O$1:$O14,1)</f>
        <v>2</v>
      </c>
      <c r="R14" s="83">
        <f t="shared" si="2"/>
        <v>4</v>
      </c>
      <c r="S14" s="83"/>
      <c r="T14" s="93" t="str">
        <f t="shared" si="3"/>
        <v>4.2.4.</v>
      </c>
    </row>
    <row r="15" spans="1:20" ht="13.8" x14ac:dyDescent="0.3">
      <c r="A15" s="48" t="str">
        <f t="shared" si="7"/>
        <v>4.2.5.</v>
      </c>
      <c r="B15" s="22" t="s">
        <v>286</v>
      </c>
      <c r="C15" s="14" t="s">
        <v>14</v>
      </c>
      <c r="D15" s="329"/>
      <c r="E15" s="368">
        <f t="shared" ref="E15:L15" si="8">ROUND(E13*E14,0)</f>
        <v>0</v>
      </c>
      <c r="F15" s="368">
        <f t="shared" si="8"/>
        <v>0</v>
      </c>
      <c r="G15" s="368">
        <f t="shared" si="8"/>
        <v>0</v>
      </c>
      <c r="H15" s="368">
        <f t="shared" si="8"/>
        <v>0</v>
      </c>
      <c r="I15" s="368">
        <f t="shared" si="8"/>
        <v>0</v>
      </c>
      <c r="J15" s="368">
        <f t="shared" si="8"/>
        <v>0</v>
      </c>
      <c r="K15" s="368">
        <f t="shared" si="8"/>
        <v>0</v>
      </c>
      <c r="L15" s="368">
        <f t="shared" si="8"/>
        <v>0</v>
      </c>
      <c r="N15" s="296"/>
      <c r="O15" s="96">
        <v>2</v>
      </c>
      <c r="P15" s="83">
        <f t="shared" si="5"/>
        <v>4</v>
      </c>
      <c r="Q15" s="83">
        <f>COUNTIFS($O$1:$O15,1)</f>
        <v>2</v>
      </c>
      <c r="R15" s="83">
        <f t="shared" si="2"/>
        <v>5</v>
      </c>
      <c r="S15" s="83"/>
      <c r="T15" s="93" t="str">
        <f t="shared" si="3"/>
        <v>4.2.5.</v>
      </c>
    </row>
    <row r="16" spans="1:20" ht="30" customHeight="1" thickBot="1" x14ac:dyDescent="0.35">
      <c r="A16" s="99" t="str">
        <f t="shared" si="7"/>
        <v>4.2.6.</v>
      </c>
      <c r="B16" s="91" t="s">
        <v>294</v>
      </c>
      <c r="C16" s="92"/>
      <c r="D16" s="494"/>
      <c r="E16" s="494"/>
      <c r="F16" s="494"/>
      <c r="G16" s="494"/>
      <c r="H16" s="494"/>
      <c r="I16" s="494"/>
      <c r="J16" s="494"/>
      <c r="K16" s="494"/>
      <c r="L16" s="494"/>
      <c r="N16" s="296" t="s">
        <v>856</v>
      </c>
      <c r="O16" s="96">
        <v>2</v>
      </c>
      <c r="P16" s="83">
        <f t="shared" si="5"/>
        <v>4</v>
      </c>
      <c r="Q16" s="83">
        <f>COUNTIFS($O$1:$O16,1)</f>
        <v>2</v>
      </c>
      <c r="R16" s="83">
        <f t="shared" si="2"/>
        <v>6</v>
      </c>
      <c r="S16" s="83"/>
      <c r="T16" s="93" t="str">
        <f t="shared" si="3"/>
        <v>4.2.6.</v>
      </c>
    </row>
    <row r="17" spans="1:21" ht="13.8" x14ac:dyDescent="0.3">
      <c r="A17" s="57" t="str">
        <f t="shared" si="7"/>
        <v>4.3.</v>
      </c>
      <c r="B17" s="188" t="s">
        <v>289</v>
      </c>
      <c r="C17" s="90"/>
      <c r="D17" s="498"/>
      <c r="E17" s="496"/>
      <c r="F17" s="496"/>
      <c r="G17" s="496"/>
      <c r="H17" s="496"/>
      <c r="I17" s="496"/>
      <c r="J17" s="496"/>
      <c r="K17" s="496"/>
      <c r="L17" s="496"/>
      <c r="N17" s="296" t="s">
        <v>851</v>
      </c>
      <c r="O17" s="96">
        <v>1</v>
      </c>
      <c r="P17" s="83">
        <f t="shared" ref="P17:P50" si="9">+P16</f>
        <v>4</v>
      </c>
      <c r="Q17" s="83">
        <f>COUNTIFS($O$1:$O17,1)</f>
        <v>3</v>
      </c>
      <c r="R17" s="83" t="str">
        <f t="shared" ref="R17:R48" si="10">IF($O17=$R$1,IF($O17&lt;&gt;$O16, 1, R16+1),"")</f>
        <v/>
      </c>
      <c r="S17" s="83"/>
      <c r="T17" s="93" t="str">
        <f t="shared" si="3"/>
        <v>4.3.</v>
      </c>
    </row>
    <row r="18" spans="1:21" ht="13.8" x14ac:dyDescent="0.3">
      <c r="A18" s="48" t="str">
        <f t="shared" si="7"/>
        <v>4.3.1.</v>
      </c>
      <c r="B18" s="98" t="s">
        <v>285</v>
      </c>
      <c r="C18" s="89"/>
      <c r="D18" s="499"/>
      <c r="E18" s="497"/>
      <c r="F18" s="497"/>
      <c r="G18" s="497"/>
      <c r="H18" s="497"/>
      <c r="I18" s="497"/>
      <c r="J18" s="497"/>
      <c r="K18" s="497"/>
      <c r="L18" s="497"/>
      <c r="N18" s="296" t="s">
        <v>852</v>
      </c>
      <c r="O18" s="96">
        <v>2</v>
      </c>
      <c r="P18" s="83">
        <f t="shared" si="9"/>
        <v>4</v>
      </c>
      <c r="Q18" s="83">
        <f>COUNTIFS($O$1:$O18,1)</f>
        <v>3</v>
      </c>
      <c r="R18" s="83">
        <f t="shared" si="10"/>
        <v>1</v>
      </c>
      <c r="S18" s="83"/>
      <c r="T18" s="93" t="str">
        <f t="shared" si="3"/>
        <v>4.3.1.</v>
      </c>
    </row>
    <row r="19" spans="1:21" ht="13.8" x14ac:dyDescent="0.3">
      <c r="A19" s="48" t="str">
        <f t="shared" si="7"/>
        <v>4.3.2.</v>
      </c>
      <c r="B19" s="13" t="s">
        <v>16</v>
      </c>
      <c r="C19" s="317" t="s">
        <v>19</v>
      </c>
      <c r="D19" s="329"/>
      <c r="E19" s="329"/>
      <c r="F19" s="329"/>
      <c r="G19" s="329"/>
      <c r="H19" s="329"/>
      <c r="I19" s="329"/>
      <c r="J19" s="329"/>
      <c r="K19" s="329"/>
      <c r="L19" s="329"/>
      <c r="N19" s="297" t="s">
        <v>853</v>
      </c>
      <c r="O19" s="96">
        <v>2</v>
      </c>
      <c r="P19" s="83">
        <f t="shared" si="9"/>
        <v>4</v>
      </c>
      <c r="Q19" s="83">
        <f>COUNTIFS($O$1:$O19,1)</f>
        <v>3</v>
      </c>
      <c r="R19" s="83">
        <f t="shared" si="10"/>
        <v>2</v>
      </c>
      <c r="S19" s="83"/>
      <c r="T19" s="93" t="str">
        <f t="shared" si="3"/>
        <v>4.3.2.</v>
      </c>
    </row>
    <row r="20" spans="1:21" ht="13.8" x14ac:dyDescent="0.3">
      <c r="A20" s="48" t="str">
        <f t="shared" si="7"/>
        <v>4.3.3.</v>
      </c>
      <c r="B20" s="13" t="s">
        <v>17</v>
      </c>
      <c r="C20" s="58" t="str">
        <f>+C19</f>
        <v>vnt.</v>
      </c>
      <c r="D20" s="329"/>
      <c r="E20" s="329"/>
      <c r="F20" s="329"/>
      <c r="G20" s="329"/>
      <c r="H20" s="329"/>
      <c r="I20" s="329"/>
      <c r="J20" s="329"/>
      <c r="K20" s="329"/>
      <c r="L20" s="329"/>
      <c r="N20" s="296" t="s">
        <v>854</v>
      </c>
      <c r="O20" s="96">
        <v>2</v>
      </c>
      <c r="P20" s="83">
        <f t="shared" si="9"/>
        <v>4</v>
      </c>
      <c r="Q20" s="83">
        <f>COUNTIFS($O$1:$O20,1)</f>
        <v>3</v>
      </c>
      <c r="R20" s="83">
        <f t="shared" si="10"/>
        <v>3</v>
      </c>
      <c r="S20" s="83"/>
      <c r="T20" s="93" t="str">
        <f t="shared" si="3"/>
        <v>4.3.3.</v>
      </c>
    </row>
    <row r="21" spans="1:21" ht="13.8" x14ac:dyDescent="0.3">
      <c r="A21" s="48" t="str">
        <f t="shared" si="7"/>
        <v>4.3.4.</v>
      </c>
      <c r="B21" s="13" t="s">
        <v>18</v>
      </c>
      <c r="C21" s="14" t="str">
        <f>CONCATENATE("Eur/",C20)</f>
        <v>Eur/vnt.</v>
      </c>
      <c r="D21" s="367" t="str">
        <f>IFERROR(ROUND(D22/D20,2),"-")</f>
        <v>-</v>
      </c>
      <c r="E21" s="330"/>
      <c r="F21" s="330"/>
      <c r="G21" s="330"/>
      <c r="H21" s="330"/>
      <c r="I21" s="330"/>
      <c r="J21" s="330"/>
      <c r="K21" s="330"/>
      <c r="L21" s="330"/>
      <c r="N21" s="296" t="s">
        <v>855</v>
      </c>
      <c r="O21" s="96">
        <v>2</v>
      </c>
      <c r="P21" s="83">
        <f t="shared" si="9"/>
        <v>4</v>
      </c>
      <c r="Q21" s="83">
        <f>COUNTIFS($O$1:$O21,1)</f>
        <v>3</v>
      </c>
      <c r="R21" s="83">
        <f t="shared" si="10"/>
        <v>4</v>
      </c>
      <c r="S21" s="83"/>
      <c r="T21" s="93" t="str">
        <f t="shared" si="3"/>
        <v>4.3.4.</v>
      </c>
    </row>
    <row r="22" spans="1:21" ht="13.8" x14ac:dyDescent="0.3">
      <c r="A22" s="48" t="str">
        <f t="shared" si="7"/>
        <v>4.3.5.</v>
      </c>
      <c r="B22" s="13" t="s">
        <v>286</v>
      </c>
      <c r="C22" s="14" t="s">
        <v>14</v>
      </c>
      <c r="D22" s="329"/>
      <c r="E22" s="368">
        <f>ROUND(E20*E21,0)</f>
        <v>0</v>
      </c>
      <c r="F22" s="368">
        <f t="shared" ref="F22:L22" si="11">ROUND(F20*F21,0)</f>
        <v>0</v>
      </c>
      <c r="G22" s="368">
        <f t="shared" si="11"/>
        <v>0</v>
      </c>
      <c r="H22" s="368">
        <f t="shared" si="11"/>
        <v>0</v>
      </c>
      <c r="I22" s="368">
        <f t="shared" si="11"/>
        <v>0</v>
      </c>
      <c r="J22" s="368">
        <f t="shared" si="11"/>
        <v>0</v>
      </c>
      <c r="K22" s="368">
        <f t="shared" si="11"/>
        <v>0</v>
      </c>
      <c r="L22" s="368">
        <f t="shared" si="11"/>
        <v>0</v>
      </c>
      <c r="N22" s="296"/>
      <c r="O22" s="96">
        <v>2</v>
      </c>
      <c r="P22" s="83">
        <f t="shared" si="9"/>
        <v>4</v>
      </c>
      <c r="Q22" s="83">
        <f>COUNTIFS($O$1:$O22,1)</f>
        <v>3</v>
      </c>
      <c r="R22" s="83">
        <f t="shared" si="10"/>
        <v>5</v>
      </c>
      <c r="S22" s="83"/>
      <c r="T22" s="93" t="str">
        <f t="shared" si="3"/>
        <v>4.3.5.</v>
      </c>
      <c r="U22" s="96"/>
    </row>
    <row r="23" spans="1:21" ht="30" customHeight="1" thickBot="1" x14ac:dyDescent="0.35">
      <c r="A23" s="101" t="str">
        <f t="shared" si="7"/>
        <v>4.3.6.</v>
      </c>
      <c r="B23" s="102" t="s">
        <v>294</v>
      </c>
      <c r="C23" s="103"/>
      <c r="D23" s="502"/>
      <c r="E23" s="502"/>
      <c r="F23" s="502"/>
      <c r="G23" s="502"/>
      <c r="H23" s="502"/>
      <c r="I23" s="502"/>
      <c r="J23" s="502"/>
      <c r="K23" s="502"/>
      <c r="L23" s="502"/>
      <c r="N23" s="296" t="s">
        <v>856</v>
      </c>
      <c r="O23" s="96">
        <v>2</v>
      </c>
      <c r="P23" s="83">
        <f t="shared" si="9"/>
        <v>4</v>
      </c>
      <c r="Q23" s="83">
        <f>COUNTIFS($O$1:$O23,1)</f>
        <v>3</v>
      </c>
      <c r="R23" s="83">
        <f t="shared" si="10"/>
        <v>6</v>
      </c>
      <c r="S23" s="83"/>
      <c r="T23" s="93" t="str">
        <f t="shared" si="3"/>
        <v>4.3.6.</v>
      </c>
      <c r="U23" s="96"/>
    </row>
    <row r="24" spans="1:21" ht="13.8" x14ac:dyDescent="0.3">
      <c r="A24" s="57" t="str">
        <f t="shared" si="7"/>
        <v>4.4.</v>
      </c>
      <c r="B24" s="188" t="s">
        <v>289</v>
      </c>
      <c r="C24" s="90"/>
      <c r="D24" s="500"/>
      <c r="E24" s="501"/>
      <c r="F24" s="501"/>
      <c r="G24" s="501"/>
      <c r="H24" s="501"/>
      <c r="I24" s="501"/>
      <c r="J24" s="501"/>
      <c r="K24" s="501"/>
      <c r="L24" s="501"/>
      <c r="N24" s="296" t="s">
        <v>851</v>
      </c>
      <c r="O24" s="96">
        <v>1</v>
      </c>
      <c r="P24" s="83">
        <f t="shared" si="9"/>
        <v>4</v>
      </c>
      <c r="Q24" s="83">
        <f>COUNTIFS($O$1:$O24,1)</f>
        <v>4</v>
      </c>
      <c r="R24" s="83" t="str">
        <f t="shared" si="10"/>
        <v/>
      </c>
      <c r="S24" s="83"/>
      <c r="T24" s="93" t="str">
        <f t="shared" si="3"/>
        <v>4.4.</v>
      </c>
      <c r="U24" s="96"/>
    </row>
    <row r="25" spans="1:21" ht="13.8" x14ac:dyDescent="0.3">
      <c r="A25" s="48" t="str">
        <f t="shared" si="7"/>
        <v>4.4.1.</v>
      </c>
      <c r="B25" s="98" t="s">
        <v>285</v>
      </c>
      <c r="C25" s="89"/>
      <c r="D25" s="495"/>
      <c r="E25" s="495"/>
      <c r="F25" s="495"/>
      <c r="G25" s="495"/>
      <c r="H25" s="495"/>
      <c r="I25" s="495"/>
      <c r="J25" s="495"/>
      <c r="K25" s="495"/>
      <c r="L25" s="495"/>
      <c r="N25" s="296" t="s">
        <v>852</v>
      </c>
      <c r="O25" s="96">
        <v>2</v>
      </c>
      <c r="P25" s="83">
        <f t="shared" si="9"/>
        <v>4</v>
      </c>
      <c r="Q25" s="83">
        <f>COUNTIFS($O$1:$O25,1)</f>
        <v>4</v>
      </c>
      <c r="R25" s="83">
        <f t="shared" si="10"/>
        <v>1</v>
      </c>
      <c r="S25" s="83"/>
      <c r="T25" s="93" t="str">
        <f t="shared" si="3"/>
        <v>4.4.1.</v>
      </c>
      <c r="U25" s="96"/>
    </row>
    <row r="26" spans="1:21" ht="13.8" x14ac:dyDescent="0.3">
      <c r="A26" s="48" t="str">
        <f t="shared" si="7"/>
        <v>4.4.2.</v>
      </c>
      <c r="B26" s="13" t="s">
        <v>16</v>
      </c>
      <c r="C26" s="317" t="s">
        <v>19</v>
      </c>
      <c r="D26" s="329"/>
      <c r="E26" s="329"/>
      <c r="F26" s="329"/>
      <c r="G26" s="329"/>
      <c r="H26" s="329"/>
      <c r="I26" s="329"/>
      <c r="J26" s="329"/>
      <c r="K26" s="329"/>
      <c r="L26" s="329"/>
      <c r="N26" s="297" t="s">
        <v>853</v>
      </c>
      <c r="O26" s="96">
        <v>2</v>
      </c>
      <c r="P26" s="83">
        <f t="shared" si="9"/>
        <v>4</v>
      </c>
      <c r="Q26" s="83">
        <f>COUNTIFS($O$1:$O26,1)</f>
        <v>4</v>
      </c>
      <c r="R26" s="83">
        <f t="shared" si="10"/>
        <v>2</v>
      </c>
      <c r="S26" s="83"/>
      <c r="T26" s="93" t="str">
        <f t="shared" si="3"/>
        <v>4.4.2.</v>
      </c>
      <c r="U26" s="96"/>
    </row>
    <row r="27" spans="1:21" ht="13.8" x14ac:dyDescent="0.3">
      <c r="A27" s="48" t="str">
        <f t="shared" si="7"/>
        <v>4.4.3.</v>
      </c>
      <c r="B27" s="13" t="s">
        <v>17</v>
      </c>
      <c r="C27" s="58" t="str">
        <f>+C26</f>
        <v>vnt.</v>
      </c>
      <c r="D27" s="329"/>
      <c r="E27" s="329"/>
      <c r="F27" s="329"/>
      <c r="G27" s="329"/>
      <c r="H27" s="329"/>
      <c r="I27" s="329"/>
      <c r="J27" s="329"/>
      <c r="K27" s="329"/>
      <c r="L27" s="329"/>
      <c r="N27" s="296" t="s">
        <v>854</v>
      </c>
      <c r="O27" s="96">
        <v>2</v>
      </c>
      <c r="P27" s="83">
        <f t="shared" si="9"/>
        <v>4</v>
      </c>
      <c r="Q27" s="83">
        <f>COUNTIFS($O$1:$O27,1)</f>
        <v>4</v>
      </c>
      <c r="R27" s="83">
        <f t="shared" si="10"/>
        <v>3</v>
      </c>
      <c r="S27" s="83"/>
      <c r="T27" s="93" t="str">
        <f t="shared" si="3"/>
        <v>4.4.3.</v>
      </c>
      <c r="U27" s="96"/>
    </row>
    <row r="28" spans="1:21" ht="13.8" x14ac:dyDescent="0.3">
      <c r="A28" s="48" t="str">
        <f t="shared" si="7"/>
        <v>4.4.4.</v>
      </c>
      <c r="B28" s="13" t="s">
        <v>18</v>
      </c>
      <c r="C28" s="14" t="str">
        <f>CONCATENATE("Eur/",C27)</f>
        <v>Eur/vnt.</v>
      </c>
      <c r="D28" s="367" t="str">
        <f>IFERROR(ROUND(D29/D27,2),"-")</f>
        <v>-</v>
      </c>
      <c r="E28" s="330"/>
      <c r="F28" s="330"/>
      <c r="G28" s="330"/>
      <c r="H28" s="330"/>
      <c r="I28" s="330"/>
      <c r="J28" s="330"/>
      <c r="K28" s="330"/>
      <c r="L28" s="330"/>
      <c r="N28" s="296" t="s">
        <v>855</v>
      </c>
      <c r="O28" s="96">
        <v>2</v>
      </c>
      <c r="P28" s="83">
        <f t="shared" si="9"/>
        <v>4</v>
      </c>
      <c r="Q28" s="83">
        <f>COUNTIFS($O$1:$O28,1)</f>
        <v>4</v>
      </c>
      <c r="R28" s="83">
        <f t="shared" si="10"/>
        <v>4</v>
      </c>
      <c r="S28" s="83"/>
      <c r="T28" s="93" t="str">
        <f t="shared" si="3"/>
        <v>4.4.4.</v>
      </c>
      <c r="U28" s="96"/>
    </row>
    <row r="29" spans="1:21" ht="13.8" x14ac:dyDescent="0.3">
      <c r="A29" s="48" t="str">
        <f t="shared" si="7"/>
        <v>4.4.5.</v>
      </c>
      <c r="B29" s="13" t="s">
        <v>286</v>
      </c>
      <c r="C29" s="14" t="s">
        <v>14</v>
      </c>
      <c r="D29" s="329"/>
      <c r="E29" s="368">
        <f>ROUND(E27*E28,0)</f>
        <v>0</v>
      </c>
      <c r="F29" s="368">
        <f t="shared" ref="F29:L29" si="12">ROUND(F27*F28,0)</f>
        <v>0</v>
      </c>
      <c r="G29" s="368">
        <f t="shared" si="12"/>
        <v>0</v>
      </c>
      <c r="H29" s="368">
        <f t="shared" si="12"/>
        <v>0</v>
      </c>
      <c r="I29" s="368">
        <f t="shared" si="12"/>
        <v>0</v>
      </c>
      <c r="J29" s="368">
        <f t="shared" si="12"/>
        <v>0</v>
      </c>
      <c r="K29" s="368">
        <f t="shared" si="12"/>
        <v>0</v>
      </c>
      <c r="L29" s="368">
        <f t="shared" si="12"/>
        <v>0</v>
      </c>
      <c r="N29" s="296"/>
      <c r="O29" s="96">
        <v>2</v>
      </c>
      <c r="P29" s="83">
        <f t="shared" si="9"/>
        <v>4</v>
      </c>
      <c r="Q29" s="83">
        <f>COUNTIFS($O$1:$O29,1)</f>
        <v>4</v>
      </c>
      <c r="R29" s="83">
        <f t="shared" si="10"/>
        <v>5</v>
      </c>
      <c r="S29" s="83"/>
      <c r="T29" s="93" t="str">
        <f t="shared" si="3"/>
        <v>4.4.5.</v>
      </c>
      <c r="U29" s="96"/>
    </row>
    <row r="30" spans="1:21" ht="30" customHeight="1" thickBot="1" x14ac:dyDescent="0.35">
      <c r="A30" s="99" t="str">
        <f t="shared" si="7"/>
        <v>4.4.6.</v>
      </c>
      <c r="B30" s="102" t="s">
        <v>294</v>
      </c>
      <c r="C30" s="103"/>
      <c r="D30" s="502"/>
      <c r="E30" s="502"/>
      <c r="F30" s="502"/>
      <c r="G30" s="502"/>
      <c r="H30" s="502"/>
      <c r="I30" s="502"/>
      <c r="J30" s="502"/>
      <c r="K30" s="502"/>
      <c r="L30" s="502"/>
      <c r="N30" s="296" t="s">
        <v>856</v>
      </c>
      <c r="O30" s="96">
        <v>2</v>
      </c>
      <c r="P30" s="83">
        <f t="shared" si="9"/>
        <v>4</v>
      </c>
      <c r="Q30" s="83">
        <f>COUNTIFS($O$1:$O30,1)</f>
        <v>4</v>
      </c>
      <c r="R30" s="83">
        <f t="shared" si="10"/>
        <v>6</v>
      </c>
      <c r="S30" s="83"/>
      <c r="T30" s="93" t="str">
        <f t="shared" si="3"/>
        <v>4.4.6.</v>
      </c>
      <c r="U30" s="96"/>
    </row>
    <row r="31" spans="1:21" ht="13.8" x14ac:dyDescent="0.3">
      <c r="A31" s="57" t="str">
        <f t="shared" si="7"/>
        <v>4.5.</v>
      </c>
      <c r="B31" s="188" t="s">
        <v>289</v>
      </c>
      <c r="C31" s="90"/>
      <c r="D31" s="498"/>
      <c r="E31" s="496"/>
      <c r="F31" s="496"/>
      <c r="G31" s="496"/>
      <c r="H31" s="496"/>
      <c r="I31" s="496"/>
      <c r="J31" s="496"/>
      <c r="K31" s="496"/>
      <c r="L31" s="496"/>
      <c r="N31" s="296" t="s">
        <v>851</v>
      </c>
      <c r="O31" s="96">
        <v>1</v>
      </c>
      <c r="P31" s="83">
        <f t="shared" si="9"/>
        <v>4</v>
      </c>
      <c r="Q31" s="83">
        <f>COUNTIFS($O$1:$O31,1)</f>
        <v>5</v>
      </c>
      <c r="R31" s="83" t="str">
        <f t="shared" si="10"/>
        <v/>
      </c>
      <c r="S31" s="83"/>
      <c r="T31" s="93" t="str">
        <f t="shared" si="3"/>
        <v>4.5.</v>
      </c>
      <c r="U31" s="96"/>
    </row>
    <row r="32" spans="1:21" ht="13.8" x14ac:dyDescent="0.3">
      <c r="A32" s="48" t="str">
        <f t="shared" si="7"/>
        <v>4.5.1.</v>
      </c>
      <c r="B32" s="98" t="s">
        <v>285</v>
      </c>
      <c r="C32" s="89"/>
      <c r="D32" s="499"/>
      <c r="E32" s="497"/>
      <c r="F32" s="497"/>
      <c r="G32" s="497"/>
      <c r="H32" s="497"/>
      <c r="I32" s="497"/>
      <c r="J32" s="497"/>
      <c r="K32" s="497"/>
      <c r="L32" s="497"/>
      <c r="N32" s="296" t="s">
        <v>852</v>
      </c>
      <c r="O32" s="96">
        <v>2</v>
      </c>
      <c r="P32" s="83">
        <f t="shared" si="9"/>
        <v>4</v>
      </c>
      <c r="Q32" s="83">
        <f>COUNTIFS($O$1:$O32,1)</f>
        <v>5</v>
      </c>
      <c r="R32" s="83">
        <f t="shared" si="10"/>
        <v>1</v>
      </c>
      <c r="S32" s="83"/>
      <c r="T32" s="93" t="str">
        <f t="shared" si="3"/>
        <v>4.5.1.</v>
      </c>
      <c r="U32" s="96"/>
    </row>
    <row r="33" spans="1:21" ht="13.8" x14ac:dyDescent="0.3">
      <c r="A33" s="48" t="str">
        <f t="shared" si="7"/>
        <v>4.5.2.</v>
      </c>
      <c r="B33" s="13" t="s">
        <v>16</v>
      </c>
      <c r="C33" s="317" t="s">
        <v>19</v>
      </c>
      <c r="D33" s="329"/>
      <c r="E33" s="329"/>
      <c r="F33" s="329"/>
      <c r="G33" s="329"/>
      <c r="H33" s="329"/>
      <c r="I33" s="329"/>
      <c r="J33" s="329"/>
      <c r="K33" s="329"/>
      <c r="L33" s="329"/>
      <c r="N33" s="297" t="s">
        <v>853</v>
      </c>
      <c r="O33" s="96">
        <v>2</v>
      </c>
      <c r="P33" s="83">
        <f t="shared" si="9"/>
        <v>4</v>
      </c>
      <c r="Q33" s="83">
        <f>COUNTIFS($O$1:$O33,1)</f>
        <v>5</v>
      </c>
      <c r="R33" s="83">
        <f t="shared" si="10"/>
        <v>2</v>
      </c>
      <c r="S33" s="83"/>
      <c r="T33" s="93" t="str">
        <f t="shared" si="3"/>
        <v>4.5.2.</v>
      </c>
      <c r="U33" s="96"/>
    </row>
    <row r="34" spans="1:21" ht="13.8" x14ac:dyDescent="0.3">
      <c r="A34" s="48" t="str">
        <f t="shared" si="7"/>
        <v>4.5.3.</v>
      </c>
      <c r="B34" s="13" t="s">
        <v>17</v>
      </c>
      <c r="C34" s="58" t="str">
        <f>+C33</f>
        <v>vnt.</v>
      </c>
      <c r="D34" s="329"/>
      <c r="E34" s="329"/>
      <c r="F34" s="329"/>
      <c r="G34" s="329"/>
      <c r="H34" s="329"/>
      <c r="I34" s="329"/>
      <c r="J34" s="329"/>
      <c r="K34" s="329"/>
      <c r="L34" s="329"/>
      <c r="N34" s="296" t="s">
        <v>854</v>
      </c>
      <c r="O34" s="96">
        <v>2</v>
      </c>
      <c r="P34" s="83">
        <f t="shared" si="9"/>
        <v>4</v>
      </c>
      <c r="Q34" s="83">
        <f>COUNTIFS($O$1:$O34,1)</f>
        <v>5</v>
      </c>
      <c r="R34" s="83">
        <f t="shared" si="10"/>
        <v>3</v>
      </c>
      <c r="S34" s="83"/>
      <c r="T34" s="93" t="str">
        <f t="shared" si="3"/>
        <v>4.5.3.</v>
      </c>
      <c r="U34" s="96"/>
    </row>
    <row r="35" spans="1:21" ht="13.8" x14ac:dyDescent="0.3">
      <c r="A35" s="48" t="str">
        <f t="shared" si="7"/>
        <v>4.5.4.</v>
      </c>
      <c r="B35" s="13" t="s">
        <v>18</v>
      </c>
      <c r="C35" s="14" t="str">
        <f>CONCATENATE("Eur/",C34)</f>
        <v>Eur/vnt.</v>
      </c>
      <c r="D35" s="367" t="str">
        <f>IFERROR(ROUND(D36/D34,2),"-")</f>
        <v>-</v>
      </c>
      <c r="E35" s="330"/>
      <c r="F35" s="330"/>
      <c r="G35" s="330"/>
      <c r="H35" s="330"/>
      <c r="I35" s="330"/>
      <c r="J35" s="330"/>
      <c r="K35" s="330"/>
      <c r="L35" s="330"/>
      <c r="N35" s="296" t="s">
        <v>855</v>
      </c>
      <c r="O35" s="96">
        <v>2</v>
      </c>
      <c r="P35" s="83">
        <f t="shared" si="9"/>
        <v>4</v>
      </c>
      <c r="Q35" s="83">
        <f>COUNTIFS($O$1:$O35,1)</f>
        <v>5</v>
      </c>
      <c r="R35" s="83">
        <f t="shared" si="10"/>
        <v>4</v>
      </c>
      <c r="S35" s="83"/>
      <c r="T35" s="93" t="str">
        <f t="shared" si="3"/>
        <v>4.5.4.</v>
      </c>
      <c r="U35" s="96"/>
    </row>
    <row r="36" spans="1:21" ht="13.8" x14ac:dyDescent="0.3">
      <c r="A36" s="48" t="str">
        <f t="shared" si="7"/>
        <v>4.5.5.</v>
      </c>
      <c r="B36" s="13" t="s">
        <v>286</v>
      </c>
      <c r="C36" s="14" t="s">
        <v>14</v>
      </c>
      <c r="D36" s="329"/>
      <c r="E36" s="368">
        <f>ROUND(E34*E35,0)</f>
        <v>0</v>
      </c>
      <c r="F36" s="368">
        <f t="shared" ref="F36:L36" si="13">ROUND(F34*F35,0)</f>
        <v>0</v>
      </c>
      <c r="G36" s="368">
        <f t="shared" si="13"/>
        <v>0</v>
      </c>
      <c r="H36" s="368">
        <f t="shared" si="13"/>
        <v>0</v>
      </c>
      <c r="I36" s="368">
        <f t="shared" si="13"/>
        <v>0</v>
      </c>
      <c r="J36" s="368">
        <f t="shared" si="13"/>
        <v>0</v>
      </c>
      <c r="K36" s="368">
        <f t="shared" si="13"/>
        <v>0</v>
      </c>
      <c r="L36" s="368">
        <f t="shared" si="13"/>
        <v>0</v>
      </c>
      <c r="N36" s="296"/>
      <c r="O36" s="96">
        <v>2</v>
      </c>
      <c r="P36" s="83">
        <f t="shared" si="9"/>
        <v>4</v>
      </c>
      <c r="Q36" s="83">
        <f>COUNTIFS($O$1:$O36,1)</f>
        <v>5</v>
      </c>
      <c r="R36" s="83">
        <f t="shared" si="10"/>
        <v>5</v>
      </c>
      <c r="S36" s="83"/>
      <c r="T36" s="93" t="str">
        <f t="shared" si="3"/>
        <v>4.5.5.</v>
      </c>
      <c r="U36" s="96"/>
    </row>
    <row r="37" spans="1:21" ht="30" customHeight="1" thickBot="1" x14ac:dyDescent="0.35">
      <c r="A37" s="99" t="str">
        <f t="shared" si="7"/>
        <v>4.5.6.</v>
      </c>
      <c r="B37" s="102" t="s">
        <v>294</v>
      </c>
      <c r="C37" s="103"/>
      <c r="D37" s="502"/>
      <c r="E37" s="502"/>
      <c r="F37" s="502"/>
      <c r="G37" s="502"/>
      <c r="H37" s="502"/>
      <c r="I37" s="502"/>
      <c r="J37" s="502"/>
      <c r="K37" s="502"/>
      <c r="L37" s="502"/>
      <c r="N37" s="296" t="s">
        <v>856</v>
      </c>
      <c r="O37" s="96">
        <v>2</v>
      </c>
      <c r="P37" s="83">
        <f t="shared" si="9"/>
        <v>4</v>
      </c>
      <c r="Q37" s="83">
        <f>COUNTIFS($O$1:$O37,1)</f>
        <v>5</v>
      </c>
      <c r="R37" s="83">
        <f t="shared" si="10"/>
        <v>6</v>
      </c>
      <c r="S37" s="83"/>
      <c r="T37" s="93" t="str">
        <f t="shared" si="3"/>
        <v>4.5.6.</v>
      </c>
      <c r="U37" s="96"/>
    </row>
    <row r="38" spans="1:21" ht="13.8" x14ac:dyDescent="0.3">
      <c r="A38" s="57" t="str">
        <f t="shared" si="7"/>
        <v>4.6.</v>
      </c>
      <c r="B38" s="188" t="s">
        <v>289</v>
      </c>
      <c r="C38" s="90"/>
      <c r="D38" s="498"/>
      <c r="E38" s="496"/>
      <c r="F38" s="496"/>
      <c r="G38" s="496"/>
      <c r="H38" s="496"/>
      <c r="I38" s="496"/>
      <c r="J38" s="496"/>
      <c r="K38" s="496"/>
      <c r="L38" s="496"/>
      <c r="N38" s="296" t="s">
        <v>851</v>
      </c>
      <c r="O38" s="96">
        <v>1</v>
      </c>
      <c r="P38" s="83">
        <f t="shared" si="9"/>
        <v>4</v>
      </c>
      <c r="Q38" s="83">
        <f>COUNTIFS($O$1:$O38,1)</f>
        <v>6</v>
      </c>
      <c r="R38" s="83" t="str">
        <f t="shared" si="10"/>
        <v/>
      </c>
      <c r="S38" s="83"/>
      <c r="T38" s="93" t="str">
        <f t="shared" si="3"/>
        <v>4.6.</v>
      </c>
      <c r="U38" s="96"/>
    </row>
    <row r="39" spans="1:21" ht="13.8" x14ac:dyDescent="0.3">
      <c r="A39" s="48" t="str">
        <f t="shared" si="7"/>
        <v>4.6.1.</v>
      </c>
      <c r="B39" s="98" t="s">
        <v>285</v>
      </c>
      <c r="C39" s="89"/>
      <c r="D39" s="499"/>
      <c r="E39" s="497"/>
      <c r="F39" s="497"/>
      <c r="G39" s="497"/>
      <c r="H39" s="497"/>
      <c r="I39" s="497"/>
      <c r="J39" s="497"/>
      <c r="K39" s="497"/>
      <c r="L39" s="497"/>
      <c r="N39" s="296" t="s">
        <v>852</v>
      </c>
      <c r="O39" s="96">
        <v>2</v>
      </c>
      <c r="P39" s="83">
        <f t="shared" si="9"/>
        <v>4</v>
      </c>
      <c r="Q39" s="83">
        <f>COUNTIFS($O$1:$O39,1)</f>
        <v>6</v>
      </c>
      <c r="R39" s="83">
        <f t="shared" si="10"/>
        <v>1</v>
      </c>
      <c r="S39" s="83"/>
      <c r="T39" s="93" t="str">
        <f t="shared" si="3"/>
        <v>4.6.1.</v>
      </c>
      <c r="U39" s="96"/>
    </row>
    <row r="40" spans="1:21" ht="13.8" x14ac:dyDescent="0.3">
      <c r="A40" s="48" t="str">
        <f t="shared" si="7"/>
        <v>4.6.2.</v>
      </c>
      <c r="B40" s="13" t="s">
        <v>16</v>
      </c>
      <c r="C40" s="317" t="s">
        <v>19</v>
      </c>
      <c r="D40" s="329"/>
      <c r="E40" s="329"/>
      <c r="F40" s="329"/>
      <c r="G40" s="329"/>
      <c r="H40" s="329"/>
      <c r="I40" s="329"/>
      <c r="J40" s="329"/>
      <c r="K40" s="329"/>
      <c r="L40" s="329"/>
      <c r="N40" s="297" t="s">
        <v>853</v>
      </c>
      <c r="O40" s="96">
        <v>2</v>
      </c>
      <c r="P40" s="83">
        <f t="shared" si="9"/>
        <v>4</v>
      </c>
      <c r="Q40" s="83">
        <f>COUNTIFS($O$1:$O40,1)</f>
        <v>6</v>
      </c>
      <c r="R40" s="83">
        <f t="shared" si="10"/>
        <v>2</v>
      </c>
      <c r="S40" s="83"/>
      <c r="T40" s="93" t="str">
        <f t="shared" si="3"/>
        <v>4.6.2.</v>
      </c>
      <c r="U40" s="96"/>
    </row>
    <row r="41" spans="1:21" ht="13.8" x14ac:dyDescent="0.3">
      <c r="A41" s="48" t="str">
        <f t="shared" si="7"/>
        <v>4.6.3.</v>
      </c>
      <c r="B41" s="13" t="s">
        <v>17</v>
      </c>
      <c r="C41" s="58" t="str">
        <f>+C40</f>
        <v>vnt.</v>
      </c>
      <c r="D41" s="329"/>
      <c r="E41" s="329"/>
      <c r="F41" s="329"/>
      <c r="G41" s="329"/>
      <c r="H41" s="329"/>
      <c r="I41" s="329"/>
      <c r="J41" s="329"/>
      <c r="K41" s="329"/>
      <c r="L41" s="329"/>
      <c r="N41" s="296" t="s">
        <v>854</v>
      </c>
      <c r="O41" s="96">
        <v>2</v>
      </c>
      <c r="P41" s="83">
        <f t="shared" si="9"/>
        <v>4</v>
      </c>
      <c r="Q41" s="83">
        <f>COUNTIFS($O$1:$O41,1)</f>
        <v>6</v>
      </c>
      <c r="R41" s="83">
        <f t="shared" si="10"/>
        <v>3</v>
      </c>
      <c r="S41" s="83"/>
      <c r="T41" s="93" t="str">
        <f t="shared" si="3"/>
        <v>4.6.3.</v>
      </c>
      <c r="U41" s="96"/>
    </row>
    <row r="42" spans="1:21" ht="13.8" x14ac:dyDescent="0.3">
      <c r="A42" s="48" t="str">
        <f t="shared" si="7"/>
        <v>4.6.4.</v>
      </c>
      <c r="B42" s="13" t="s">
        <v>18</v>
      </c>
      <c r="C42" s="14" t="str">
        <f>CONCATENATE("Eur/",C41)</f>
        <v>Eur/vnt.</v>
      </c>
      <c r="D42" s="367" t="str">
        <f>IFERROR(ROUND(D43/D41,2),"-")</f>
        <v>-</v>
      </c>
      <c r="E42" s="330"/>
      <c r="F42" s="330"/>
      <c r="G42" s="330"/>
      <c r="H42" s="330"/>
      <c r="I42" s="330"/>
      <c r="J42" s="330"/>
      <c r="K42" s="330"/>
      <c r="L42" s="330"/>
      <c r="N42" s="296" t="s">
        <v>855</v>
      </c>
      <c r="O42" s="96">
        <v>2</v>
      </c>
      <c r="P42" s="83">
        <f t="shared" si="9"/>
        <v>4</v>
      </c>
      <c r="Q42" s="83">
        <f>COUNTIFS($O$1:$O42,1)</f>
        <v>6</v>
      </c>
      <c r="R42" s="83">
        <f t="shared" si="10"/>
        <v>4</v>
      </c>
      <c r="S42" s="83"/>
      <c r="T42" s="93" t="str">
        <f t="shared" si="3"/>
        <v>4.6.4.</v>
      </c>
      <c r="U42" s="96"/>
    </row>
    <row r="43" spans="1:21" ht="13.8" x14ac:dyDescent="0.3">
      <c r="A43" s="48" t="str">
        <f t="shared" si="7"/>
        <v>4.6.5.</v>
      </c>
      <c r="B43" s="13" t="s">
        <v>286</v>
      </c>
      <c r="C43" s="14" t="s">
        <v>14</v>
      </c>
      <c r="D43" s="329"/>
      <c r="E43" s="368">
        <f>ROUND(E41*E42,0)</f>
        <v>0</v>
      </c>
      <c r="F43" s="368">
        <f t="shared" ref="F43:L43" si="14">ROUND(F41*F42,0)</f>
        <v>0</v>
      </c>
      <c r="G43" s="368">
        <f t="shared" si="14"/>
        <v>0</v>
      </c>
      <c r="H43" s="368">
        <f t="shared" si="14"/>
        <v>0</v>
      </c>
      <c r="I43" s="368">
        <f t="shared" si="14"/>
        <v>0</v>
      </c>
      <c r="J43" s="368">
        <f t="shared" si="14"/>
        <v>0</v>
      </c>
      <c r="K43" s="368">
        <f t="shared" si="14"/>
        <v>0</v>
      </c>
      <c r="L43" s="368">
        <f t="shared" si="14"/>
        <v>0</v>
      </c>
      <c r="N43" s="296"/>
      <c r="O43" s="96">
        <v>2</v>
      </c>
      <c r="P43" s="83">
        <f t="shared" si="9"/>
        <v>4</v>
      </c>
      <c r="Q43" s="83">
        <f>COUNTIFS($O$1:$O43,1)</f>
        <v>6</v>
      </c>
      <c r="R43" s="83">
        <f t="shared" si="10"/>
        <v>5</v>
      </c>
      <c r="S43" s="83"/>
      <c r="T43" s="93" t="str">
        <f t="shared" si="3"/>
        <v>4.6.5.</v>
      </c>
      <c r="U43" s="96"/>
    </row>
    <row r="44" spans="1:21" ht="30" customHeight="1" thickBot="1" x14ac:dyDescent="0.35">
      <c r="A44" s="99" t="str">
        <f t="shared" si="7"/>
        <v>4.6.6.</v>
      </c>
      <c r="B44" s="102" t="s">
        <v>294</v>
      </c>
      <c r="C44" s="103"/>
      <c r="D44" s="502"/>
      <c r="E44" s="502"/>
      <c r="F44" s="502"/>
      <c r="G44" s="502"/>
      <c r="H44" s="502"/>
      <c r="I44" s="502"/>
      <c r="J44" s="502"/>
      <c r="K44" s="502"/>
      <c r="L44" s="502"/>
      <c r="N44" s="296" t="s">
        <v>856</v>
      </c>
      <c r="O44" s="96">
        <v>2</v>
      </c>
      <c r="P44" s="83">
        <f t="shared" si="9"/>
        <v>4</v>
      </c>
      <c r="Q44" s="83">
        <f>COUNTIFS($O$1:$O44,1)</f>
        <v>6</v>
      </c>
      <c r="R44" s="83">
        <f t="shared" si="10"/>
        <v>6</v>
      </c>
      <c r="S44" s="83"/>
      <c r="T44" s="93" t="str">
        <f t="shared" si="3"/>
        <v>4.6.6.</v>
      </c>
      <c r="U44" s="96"/>
    </row>
    <row r="45" spans="1:21" ht="13.8" x14ac:dyDescent="0.3">
      <c r="A45" s="57" t="str">
        <f t="shared" si="7"/>
        <v>4.7.</v>
      </c>
      <c r="B45" s="188" t="s">
        <v>288</v>
      </c>
      <c r="C45" s="90"/>
      <c r="D45" s="496"/>
      <c r="E45" s="496"/>
      <c r="F45" s="496"/>
      <c r="G45" s="496"/>
      <c r="H45" s="496"/>
      <c r="I45" s="496"/>
      <c r="J45" s="496"/>
      <c r="K45" s="496"/>
      <c r="L45" s="496"/>
      <c r="N45" s="296" t="s">
        <v>857</v>
      </c>
      <c r="O45" s="96">
        <v>1</v>
      </c>
      <c r="P45" s="83">
        <f t="shared" si="9"/>
        <v>4</v>
      </c>
      <c r="Q45" s="83">
        <f>COUNTIFS($O$1:$O45,1)</f>
        <v>7</v>
      </c>
      <c r="R45" s="83" t="str">
        <f t="shared" si="10"/>
        <v/>
      </c>
      <c r="S45" s="83"/>
      <c r="T45" s="93" t="str">
        <f t="shared" si="3"/>
        <v>4.7.</v>
      </c>
      <c r="U45" s="96"/>
    </row>
    <row r="46" spans="1:21" ht="13.8" x14ac:dyDescent="0.3">
      <c r="A46" s="48" t="str">
        <f t="shared" si="7"/>
        <v>4.7.1.</v>
      </c>
      <c r="B46" s="98" t="s">
        <v>285</v>
      </c>
      <c r="C46" s="89"/>
      <c r="D46" s="497"/>
      <c r="E46" s="497"/>
      <c r="F46" s="497"/>
      <c r="G46" s="497"/>
      <c r="H46" s="497"/>
      <c r="I46" s="497"/>
      <c r="J46" s="497"/>
      <c r="K46" s="497"/>
      <c r="L46" s="497"/>
      <c r="N46" s="296" t="s">
        <v>852</v>
      </c>
      <c r="O46" s="96">
        <v>2</v>
      </c>
      <c r="P46" s="83">
        <f t="shared" si="9"/>
        <v>4</v>
      </c>
      <c r="Q46" s="83">
        <f>COUNTIFS($O$1:$O46,1)</f>
        <v>7</v>
      </c>
      <c r="R46" s="83">
        <f t="shared" si="10"/>
        <v>1</v>
      </c>
      <c r="S46" s="83"/>
      <c r="T46" s="93" t="str">
        <f t="shared" si="3"/>
        <v>4.7.1.</v>
      </c>
      <c r="U46" s="96"/>
    </row>
    <row r="47" spans="1:21" s="17" customFormat="1" ht="13.8" x14ac:dyDescent="0.3">
      <c r="A47" s="48" t="str">
        <f t="shared" si="7"/>
        <v>4.7.2.</v>
      </c>
      <c r="B47" s="13" t="s">
        <v>17</v>
      </c>
      <c r="C47" s="317" t="s">
        <v>177</v>
      </c>
      <c r="D47" s="329"/>
      <c r="E47" s="329"/>
      <c r="F47" s="329"/>
      <c r="G47" s="329"/>
      <c r="H47" s="329"/>
      <c r="I47" s="329"/>
      <c r="J47" s="329"/>
      <c r="K47" s="329"/>
      <c r="L47" s="329"/>
      <c r="M47" s="16"/>
      <c r="N47" s="297" t="s">
        <v>853</v>
      </c>
      <c r="O47" s="96">
        <v>2</v>
      </c>
      <c r="P47" s="83">
        <f t="shared" si="9"/>
        <v>4</v>
      </c>
      <c r="Q47" s="83">
        <f>COUNTIFS($O$1:$O47,1)</f>
        <v>7</v>
      </c>
      <c r="R47" s="83">
        <f t="shared" si="10"/>
        <v>2</v>
      </c>
      <c r="S47" s="83"/>
      <c r="T47" s="93" t="str">
        <f t="shared" si="3"/>
        <v>4.7.2.</v>
      </c>
      <c r="U47" s="96"/>
    </row>
    <row r="48" spans="1:21" ht="13.8" x14ac:dyDescent="0.3">
      <c r="A48" s="48" t="str">
        <f t="shared" si="7"/>
        <v>4.7.3.</v>
      </c>
      <c r="B48" s="13" t="s">
        <v>18</v>
      </c>
      <c r="C48" s="14" t="str">
        <f>CONCATENATE("Eur/",C47)</f>
        <v>Eur/val.</v>
      </c>
      <c r="D48" s="367" t="str">
        <f>IFERROR(ROUND(D49/D47,2),"-")</f>
        <v>-</v>
      </c>
      <c r="E48" s="330"/>
      <c r="F48" s="330"/>
      <c r="G48" s="330"/>
      <c r="H48" s="330"/>
      <c r="I48" s="330"/>
      <c r="J48" s="330"/>
      <c r="K48" s="330"/>
      <c r="L48" s="330"/>
      <c r="N48" s="296" t="s">
        <v>855</v>
      </c>
      <c r="O48" s="96">
        <v>2</v>
      </c>
      <c r="P48" s="83">
        <f t="shared" si="9"/>
        <v>4</v>
      </c>
      <c r="Q48" s="83">
        <f>COUNTIFS($O$1:$O48,1)</f>
        <v>7</v>
      </c>
      <c r="R48" s="83">
        <f t="shared" si="10"/>
        <v>3</v>
      </c>
      <c r="S48" s="83"/>
      <c r="T48" s="93" t="str">
        <f t="shared" si="3"/>
        <v>4.7.3.</v>
      </c>
      <c r="U48" s="96"/>
    </row>
    <row r="49" spans="1:21" ht="13.8" x14ac:dyDescent="0.3">
      <c r="A49" s="48" t="str">
        <f t="shared" si="7"/>
        <v>4.7.4.</v>
      </c>
      <c r="B49" s="13" t="s">
        <v>287</v>
      </c>
      <c r="C49" s="14" t="s">
        <v>14</v>
      </c>
      <c r="D49" s="329"/>
      <c r="E49" s="368">
        <f>ROUND(E47*E48,0)</f>
        <v>0</v>
      </c>
      <c r="F49" s="368">
        <f t="shared" ref="F49:L49" si="15">ROUND(F47*F48,0)</f>
        <v>0</v>
      </c>
      <c r="G49" s="368">
        <f t="shared" si="15"/>
        <v>0</v>
      </c>
      <c r="H49" s="368">
        <f t="shared" si="15"/>
        <v>0</v>
      </c>
      <c r="I49" s="368">
        <f t="shared" si="15"/>
        <v>0</v>
      </c>
      <c r="J49" s="368">
        <f t="shared" si="15"/>
        <v>0</v>
      </c>
      <c r="K49" s="368">
        <f t="shared" si="15"/>
        <v>0</v>
      </c>
      <c r="L49" s="368">
        <f t="shared" si="15"/>
        <v>0</v>
      </c>
      <c r="N49" s="296"/>
      <c r="O49" s="96">
        <v>2</v>
      </c>
      <c r="P49" s="83">
        <f t="shared" si="9"/>
        <v>4</v>
      </c>
      <c r="Q49" s="83">
        <f>COUNTIFS($O$1:$O49,1)</f>
        <v>7</v>
      </c>
      <c r="R49" s="83">
        <f t="shared" ref="R49:R80" si="16">IF($O49=$R$1,IF($O49&lt;&gt;$O48, 1, R48+1),"")</f>
        <v>4</v>
      </c>
      <c r="S49" s="83"/>
      <c r="T49" s="93" t="str">
        <f t="shared" si="3"/>
        <v>4.7.4.</v>
      </c>
      <c r="U49" s="96"/>
    </row>
    <row r="50" spans="1:21" ht="30" customHeight="1" thickBot="1" x14ac:dyDescent="0.35">
      <c r="A50" s="99" t="str">
        <f t="shared" si="7"/>
        <v>4.7.5.</v>
      </c>
      <c r="B50" s="97" t="s">
        <v>294</v>
      </c>
      <c r="C50" s="92"/>
      <c r="D50" s="494"/>
      <c r="E50" s="494"/>
      <c r="F50" s="494"/>
      <c r="G50" s="494"/>
      <c r="H50" s="494"/>
      <c r="I50" s="494"/>
      <c r="J50" s="494"/>
      <c r="K50" s="494"/>
      <c r="L50" s="494"/>
      <c r="N50" s="296" t="s">
        <v>856</v>
      </c>
      <c r="O50" s="96">
        <v>2</v>
      </c>
      <c r="P50" s="83">
        <f t="shared" si="9"/>
        <v>4</v>
      </c>
      <c r="Q50" s="83">
        <f>COUNTIFS($O$1:$O50,1)</f>
        <v>7</v>
      </c>
      <c r="R50" s="83">
        <f t="shared" si="16"/>
        <v>5</v>
      </c>
      <c r="S50" s="83"/>
      <c r="T50" s="93" t="str">
        <f t="shared" si="3"/>
        <v>4.7.5.</v>
      </c>
      <c r="U50" s="96"/>
    </row>
    <row r="51" spans="1:21" ht="13.8" x14ac:dyDescent="0.3">
      <c r="A51" s="57" t="str">
        <f t="shared" si="7"/>
        <v>4.8.</v>
      </c>
      <c r="B51" s="188" t="s">
        <v>288</v>
      </c>
      <c r="C51" s="90"/>
      <c r="D51" s="496"/>
      <c r="E51" s="496"/>
      <c r="F51" s="496"/>
      <c r="G51" s="496"/>
      <c r="H51" s="496"/>
      <c r="I51" s="496"/>
      <c r="J51" s="496"/>
      <c r="K51" s="496"/>
      <c r="L51" s="496"/>
      <c r="N51" s="296" t="s">
        <v>857</v>
      </c>
      <c r="O51" s="96">
        <v>1</v>
      </c>
      <c r="P51" s="83">
        <f t="shared" ref="P51:P86" si="17">+P50</f>
        <v>4</v>
      </c>
      <c r="Q51" s="83">
        <f>COUNTIFS($O$1:$O51,1)</f>
        <v>8</v>
      </c>
      <c r="R51" s="83" t="str">
        <f t="shared" si="16"/>
        <v/>
      </c>
      <c r="S51" s="83"/>
      <c r="T51" s="93" t="str">
        <f t="shared" si="3"/>
        <v>4.8.</v>
      </c>
      <c r="U51" s="96"/>
    </row>
    <row r="52" spans="1:21" ht="13.8" x14ac:dyDescent="0.3">
      <c r="A52" s="48" t="str">
        <f t="shared" si="7"/>
        <v>4.8.1.</v>
      </c>
      <c r="B52" s="98" t="s">
        <v>285</v>
      </c>
      <c r="C52" s="89"/>
      <c r="D52" s="497"/>
      <c r="E52" s="497"/>
      <c r="F52" s="497"/>
      <c r="G52" s="497"/>
      <c r="H52" s="497"/>
      <c r="I52" s="497"/>
      <c r="J52" s="497"/>
      <c r="K52" s="497"/>
      <c r="L52" s="497"/>
      <c r="N52" s="296" t="s">
        <v>852</v>
      </c>
      <c r="O52" s="96">
        <v>2</v>
      </c>
      <c r="P52" s="83">
        <f t="shared" si="17"/>
        <v>4</v>
      </c>
      <c r="Q52" s="83">
        <f>COUNTIFS($O$1:$O52,1)</f>
        <v>8</v>
      </c>
      <c r="R52" s="83">
        <f t="shared" si="16"/>
        <v>1</v>
      </c>
      <c r="S52" s="83"/>
      <c r="T52" s="93" t="str">
        <f t="shared" si="3"/>
        <v>4.8.1.</v>
      </c>
      <c r="U52" s="96"/>
    </row>
    <row r="53" spans="1:21" ht="13.8" x14ac:dyDescent="0.3">
      <c r="A53" s="48" t="str">
        <f t="shared" si="7"/>
        <v>4.8.2.</v>
      </c>
      <c r="B53" s="13" t="s">
        <v>17</v>
      </c>
      <c r="C53" s="317" t="s">
        <v>177</v>
      </c>
      <c r="D53" s="329"/>
      <c r="E53" s="329"/>
      <c r="F53" s="329"/>
      <c r="G53" s="329"/>
      <c r="H53" s="329"/>
      <c r="I53" s="329"/>
      <c r="J53" s="329"/>
      <c r="K53" s="329"/>
      <c r="L53" s="329"/>
      <c r="N53" s="297" t="s">
        <v>853</v>
      </c>
      <c r="O53" s="96">
        <v>2</v>
      </c>
      <c r="P53" s="83">
        <f t="shared" si="17"/>
        <v>4</v>
      </c>
      <c r="Q53" s="83">
        <f>COUNTIFS($O$1:$O53,1)</f>
        <v>8</v>
      </c>
      <c r="R53" s="83">
        <f t="shared" si="16"/>
        <v>2</v>
      </c>
      <c r="S53" s="83"/>
      <c r="T53" s="93" t="str">
        <f t="shared" si="3"/>
        <v>4.8.2.</v>
      </c>
      <c r="U53" s="96"/>
    </row>
    <row r="54" spans="1:21" ht="13.8" x14ac:dyDescent="0.3">
      <c r="A54" s="48" t="str">
        <f t="shared" si="7"/>
        <v>4.8.3.</v>
      </c>
      <c r="B54" s="13" t="s">
        <v>18</v>
      </c>
      <c r="C54" s="14" t="str">
        <f>CONCATENATE("Eur/",C53)</f>
        <v>Eur/val.</v>
      </c>
      <c r="D54" s="367" t="str">
        <f>IFERROR(ROUND(D55/D53,2),"-")</f>
        <v>-</v>
      </c>
      <c r="E54" s="330"/>
      <c r="F54" s="330"/>
      <c r="G54" s="330"/>
      <c r="H54" s="330"/>
      <c r="I54" s="330"/>
      <c r="J54" s="330"/>
      <c r="K54" s="330"/>
      <c r="L54" s="330"/>
      <c r="N54" s="296" t="s">
        <v>855</v>
      </c>
      <c r="O54" s="96">
        <v>2</v>
      </c>
      <c r="P54" s="83">
        <f t="shared" si="17"/>
        <v>4</v>
      </c>
      <c r="Q54" s="83">
        <f>COUNTIFS($O$1:$O54,1)</f>
        <v>8</v>
      </c>
      <c r="R54" s="83">
        <f t="shared" si="16"/>
        <v>3</v>
      </c>
      <c r="S54" s="83"/>
      <c r="T54" s="93" t="str">
        <f t="shared" si="3"/>
        <v>4.8.3.</v>
      </c>
      <c r="U54" s="96"/>
    </row>
    <row r="55" spans="1:21" ht="13.8" x14ac:dyDescent="0.3">
      <c r="A55" s="48" t="str">
        <f t="shared" si="7"/>
        <v>4.8.4.</v>
      </c>
      <c r="B55" s="13" t="s">
        <v>287</v>
      </c>
      <c r="C55" s="14" t="s">
        <v>14</v>
      </c>
      <c r="D55" s="329"/>
      <c r="E55" s="368">
        <f>ROUND(E53*E54,0)</f>
        <v>0</v>
      </c>
      <c r="F55" s="368">
        <f t="shared" ref="F55:L55" si="18">ROUND(F53*F54,0)</f>
        <v>0</v>
      </c>
      <c r="G55" s="368">
        <f t="shared" si="18"/>
        <v>0</v>
      </c>
      <c r="H55" s="368">
        <f t="shared" si="18"/>
        <v>0</v>
      </c>
      <c r="I55" s="368">
        <f t="shared" si="18"/>
        <v>0</v>
      </c>
      <c r="J55" s="368">
        <f t="shared" si="18"/>
        <v>0</v>
      </c>
      <c r="K55" s="368">
        <f t="shared" si="18"/>
        <v>0</v>
      </c>
      <c r="L55" s="368">
        <f t="shared" si="18"/>
        <v>0</v>
      </c>
      <c r="N55" s="296"/>
      <c r="O55" s="96">
        <v>2</v>
      </c>
      <c r="P55" s="83">
        <f t="shared" si="17"/>
        <v>4</v>
      </c>
      <c r="Q55" s="83">
        <f>COUNTIFS($O$1:$O55,1)</f>
        <v>8</v>
      </c>
      <c r="R55" s="83">
        <f t="shared" si="16"/>
        <v>4</v>
      </c>
      <c r="S55" s="83"/>
      <c r="T55" s="93" t="str">
        <f t="shared" si="3"/>
        <v>4.8.4.</v>
      </c>
      <c r="U55" s="96"/>
    </row>
    <row r="56" spans="1:21" ht="30" customHeight="1" thickBot="1" x14ac:dyDescent="0.35">
      <c r="A56" s="99" t="str">
        <f t="shared" si="7"/>
        <v>4.8.5.</v>
      </c>
      <c r="B56" s="97" t="s">
        <v>294</v>
      </c>
      <c r="C56" s="92"/>
      <c r="D56" s="494"/>
      <c r="E56" s="494"/>
      <c r="F56" s="494"/>
      <c r="G56" s="494"/>
      <c r="H56" s="494"/>
      <c r="I56" s="494"/>
      <c r="J56" s="494"/>
      <c r="K56" s="494"/>
      <c r="L56" s="494"/>
      <c r="N56" s="296" t="s">
        <v>856</v>
      </c>
      <c r="O56" s="96">
        <v>2</v>
      </c>
      <c r="P56" s="83">
        <f t="shared" si="17"/>
        <v>4</v>
      </c>
      <c r="Q56" s="83">
        <f>COUNTIFS($O$1:$O56,1)</f>
        <v>8</v>
      </c>
      <c r="R56" s="83">
        <f t="shared" si="16"/>
        <v>5</v>
      </c>
      <c r="S56" s="83"/>
      <c r="T56" s="93" t="str">
        <f t="shared" si="3"/>
        <v>4.8.5.</v>
      </c>
      <c r="U56" s="96"/>
    </row>
    <row r="57" spans="1:21" ht="13.8" x14ac:dyDescent="0.3">
      <c r="A57" s="57" t="str">
        <f t="shared" si="7"/>
        <v>4.9.</v>
      </c>
      <c r="B57" s="188" t="s">
        <v>288</v>
      </c>
      <c r="C57" s="90"/>
      <c r="D57" s="496"/>
      <c r="E57" s="496"/>
      <c r="F57" s="496"/>
      <c r="G57" s="496"/>
      <c r="H57" s="496"/>
      <c r="I57" s="496"/>
      <c r="J57" s="496"/>
      <c r="K57" s="496"/>
      <c r="L57" s="496"/>
      <c r="N57" s="296" t="s">
        <v>857</v>
      </c>
      <c r="O57" s="96">
        <v>1</v>
      </c>
      <c r="P57" s="83">
        <f t="shared" si="17"/>
        <v>4</v>
      </c>
      <c r="Q57" s="83">
        <f>COUNTIFS($O$1:$O57,1)</f>
        <v>9</v>
      </c>
      <c r="R57" s="83" t="str">
        <f t="shared" si="16"/>
        <v/>
      </c>
      <c r="S57" s="83"/>
      <c r="T57" s="93" t="str">
        <f t="shared" si="3"/>
        <v>4.9.</v>
      </c>
      <c r="U57" s="96"/>
    </row>
    <row r="58" spans="1:21" ht="13.8" x14ac:dyDescent="0.3">
      <c r="A58" s="48" t="str">
        <f t="shared" si="7"/>
        <v>4.9.1.</v>
      </c>
      <c r="B58" s="98" t="s">
        <v>285</v>
      </c>
      <c r="C58" s="89"/>
      <c r="D58" s="497"/>
      <c r="E58" s="497"/>
      <c r="F58" s="497"/>
      <c r="G58" s="497"/>
      <c r="H58" s="497"/>
      <c r="I58" s="497"/>
      <c r="J58" s="497"/>
      <c r="K58" s="497"/>
      <c r="L58" s="497"/>
      <c r="N58" s="296" t="s">
        <v>852</v>
      </c>
      <c r="O58" s="96">
        <v>2</v>
      </c>
      <c r="P58" s="83">
        <f t="shared" si="17"/>
        <v>4</v>
      </c>
      <c r="Q58" s="83">
        <f>COUNTIFS($O$1:$O58,1)</f>
        <v>9</v>
      </c>
      <c r="R58" s="83">
        <f t="shared" si="16"/>
        <v>1</v>
      </c>
      <c r="S58" s="83"/>
      <c r="T58" s="93" t="str">
        <f t="shared" si="3"/>
        <v>4.9.1.</v>
      </c>
      <c r="U58" s="96"/>
    </row>
    <row r="59" spans="1:21" ht="13.8" x14ac:dyDescent="0.3">
      <c r="A59" s="48" t="str">
        <f t="shared" si="7"/>
        <v>4.9.2.</v>
      </c>
      <c r="B59" s="13" t="s">
        <v>17</v>
      </c>
      <c r="C59" s="317" t="s">
        <v>177</v>
      </c>
      <c r="D59" s="329"/>
      <c r="E59" s="329"/>
      <c r="F59" s="329"/>
      <c r="G59" s="329"/>
      <c r="H59" s="329"/>
      <c r="I59" s="329"/>
      <c r="J59" s="329"/>
      <c r="K59" s="329"/>
      <c r="L59" s="329"/>
      <c r="N59" s="297" t="s">
        <v>853</v>
      </c>
      <c r="O59" s="96">
        <v>2</v>
      </c>
      <c r="P59" s="83">
        <f t="shared" si="17"/>
        <v>4</v>
      </c>
      <c r="Q59" s="83">
        <f>COUNTIFS($O$1:$O59,1)</f>
        <v>9</v>
      </c>
      <c r="R59" s="83">
        <f t="shared" si="16"/>
        <v>2</v>
      </c>
      <c r="S59" s="83"/>
      <c r="T59" s="93" t="str">
        <f t="shared" si="3"/>
        <v>4.9.2.</v>
      </c>
      <c r="U59" s="96"/>
    </row>
    <row r="60" spans="1:21" ht="13.8" x14ac:dyDescent="0.3">
      <c r="A60" s="48" t="str">
        <f t="shared" si="7"/>
        <v>4.9.3.</v>
      </c>
      <c r="B60" s="13" t="s">
        <v>18</v>
      </c>
      <c r="C60" s="14" t="str">
        <f>CONCATENATE("Eur/",C59)</f>
        <v>Eur/val.</v>
      </c>
      <c r="D60" s="367" t="str">
        <f>IFERROR(ROUND(D61/D59,2),"-")</f>
        <v>-</v>
      </c>
      <c r="E60" s="330"/>
      <c r="F60" s="330"/>
      <c r="G60" s="330"/>
      <c r="H60" s="330"/>
      <c r="I60" s="330"/>
      <c r="J60" s="330"/>
      <c r="K60" s="330"/>
      <c r="L60" s="330"/>
      <c r="N60" s="296" t="s">
        <v>855</v>
      </c>
      <c r="O60" s="96">
        <v>2</v>
      </c>
      <c r="P60" s="83">
        <f t="shared" si="17"/>
        <v>4</v>
      </c>
      <c r="Q60" s="83">
        <f>COUNTIFS($O$1:$O60,1)</f>
        <v>9</v>
      </c>
      <c r="R60" s="83">
        <f t="shared" si="16"/>
        <v>3</v>
      </c>
      <c r="S60" s="83"/>
      <c r="T60" s="93" t="str">
        <f t="shared" si="3"/>
        <v>4.9.3.</v>
      </c>
      <c r="U60" s="96"/>
    </row>
    <row r="61" spans="1:21" ht="13.8" x14ac:dyDescent="0.3">
      <c r="A61" s="48" t="str">
        <f t="shared" si="7"/>
        <v>4.9.4.</v>
      </c>
      <c r="B61" s="13" t="s">
        <v>287</v>
      </c>
      <c r="C61" s="14" t="s">
        <v>14</v>
      </c>
      <c r="D61" s="329"/>
      <c r="E61" s="368">
        <f>ROUND(E59*E60,0)</f>
        <v>0</v>
      </c>
      <c r="F61" s="368">
        <f t="shared" ref="F61:L61" si="19">ROUND(F59*F60,0)</f>
        <v>0</v>
      </c>
      <c r="G61" s="368">
        <f t="shared" si="19"/>
        <v>0</v>
      </c>
      <c r="H61" s="368">
        <f t="shared" si="19"/>
        <v>0</v>
      </c>
      <c r="I61" s="368">
        <f t="shared" si="19"/>
        <v>0</v>
      </c>
      <c r="J61" s="368">
        <f t="shared" si="19"/>
        <v>0</v>
      </c>
      <c r="K61" s="368">
        <f t="shared" si="19"/>
        <v>0</v>
      </c>
      <c r="L61" s="368">
        <f t="shared" si="19"/>
        <v>0</v>
      </c>
      <c r="N61" s="296"/>
      <c r="O61" s="96">
        <v>2</v>
      </c>
      <c r="P61" s="83">
        <f t="shared" si="17"/>
        <v>4</v>
      </c>
      <c r="Q61" s="83">
        <f>COUNTIFS($O$1:$O61,1)</f>
        <v>9</v>
      </c>
      <c r="R61" s="83">
        <f t="shared" si="16"/>
        <v>4</v>
      </c>
      <c r="S61" s="83"/>
      <c r="T61" s="93" t="str">
        <f t="shared" si="3"/>
        <v>4.9.4.</v>
      </c>
      <c r="U61" s="96"/>
    </row>
    <row r="62" spans="1:21" ht="30" customHeight="1" thickBot="1" x14ac:dyDescent="0.35">
      <c r="A62" s="99" t="str">
        <f t="shared" si="7"/>
        <v>4.9.5.</v>
      </c>
      <c r="B62" s="97" t="s">
        <v>294</v>
      </c>
      <c r="C62" s="92"/>
      <c r="D62" s="494"/>
      <c r="E62" s="494"/>
      <c r="F62" s="494"/>
      <c r="G62" s="494"/>
      <c r="H62" s="494"/>
      <c r="I62" s="494"/>
      <c r="J62" s="494"/>
      <c r="K62" s="494"/>
      <c r="L62" s="494"/>
      <c r="N62" s="296" t="s">
        <v>856</v>
      </c>
      <c r="O62" s="96">
        <v>2</v>
      </c>
      <c r="P62" s="83">
        <f t="shared" si="17"/>
        <v>4</v>
      </c>
      <c r="Q62" s="83">
        <f>COUNTIFS($O$1:$O62,1)</f>
        <v>9</v>
      </c>
      <c r="R62" s="83">
        <f t="shared" si="16"/>
        <v>5</v>
      </c>
      <c r="S62" s="83"/>
      <c r="T62" s="93" t="str">
        <f t="shared" si="3"/>
        <v>4.9.5.</v>
      </c>
      <c r="U62" s="96"/>
    </row>
    <row r="63" spans="1:21" ht="13.8" x14ac:dyDescent="0.3">
      <c r="A63" s="57" t="str">
        <f t="shared" si="7"/>
        <v>4.10.</v>
      </c>
      <c r="B63" s="188" t="s">
        <v>288</v>
      </c>
      <c r="C63" s="90"/>
      <c r="D63" s="496"/>
      <c r="E63" s="496"/>
      <c r="F63" s="496"/>
      <c r="G63" s="496"/>
      <c r="H63" s="496"/>
      <c r="I63" s="496"/>
      <c r="J63" s="496"/>
      <c r="K63" s="496"/>
      <c r="L63" s="496"/>
      <c r="N63" s="296" t="s">
        <v>857</v>
      </c>
      <c r="O63" s="96">
        <v>1</v>
      </c>
      <c r="P63" s="83">
        <f t="shared" si="17"/>
        <v>4</v>
      </c>
      <c r="Q63" s="83">
        <f>COUNTIFS($O$1:$O63,1)</f>
        <v>10</v>
      </c>
      <c r="R63" s="83" t="str">
        <f t="shared" si="16"/>
        <v/>
      </c>
      <c r="S63" s="83"/>
      <c r="T63" s="93" t="str">
        <f t="shared" si="3"/>
        <v>4.10.</v>
      </c>
      <c r="U63" s="96"/>
    </row>
    <row r="64" spans="1:21" ht="13.8" x14ac:dyDescent="0.3">
      <c r="A64" s="48" t="str">
        <f t="shared" si="7"/>
        <v>4.10.1.</v>
      </c>
      <c r="B64" s="98" t="s">
        <v>285</v>
      </c>
      <c r="C64" s="89"/>
      <c r="D64" s="497"/>
      <c r="E64" s="497"/>
      <c r="F64" s="497"/>
      <c r="G64" s="497"/>
      <c r="H64" s="497"/>
      <c r="I64" s="497"/>
      <c r="J64" s="497"/>
      <c r="K64" s="497"/>
      <c r="L64" s="497"/>
      <c r="N64" s="296" t="s">
        <v>852</v>
      </c>
      <c r="O64" s="96">
        <v>2</v>
      </c>
      <c r="P64" s="83">
        <f t="shared" si="17"/>
        <v>4</v>
      </c>
      <c r="Q64" s="83">
        <f>COUNTIFS($O$1:$O64,1)</f>
        <v>10</v>
      </c>
      <c r="R64" s="83">
        <f t="shared" si="16"/>
        <v>1</v>
      </c>
      <c r="S64" s="83"/>
      <c r="T64" s="93" t="str">
        <f t="shared" si="3"/>
        <v>4.10.1.</v>
      </c>
      <c r="U64" s="96"/>
    </row>
    <row r="65" spans="1:21" ht="13.8" x14ac:dyDescent="0.3">
      <c r="A65" s="48" t="str">
        <f t="shared" si="7"/>
        <v>4.10.2.</v>
      </c>
      <c r="B65" s="13" t="s">
        <v>17</v>
      </c>
      <c r="C65" s="317" t="s">
        <v>177</v>
      </c>
      <c r="D65" s="329"/>
      <c r="E65" s="329"/>
      <c r="F65" s="329"/>
      <c r="G65" s="329"/>
      <c r="H65" s="329"/>
      <c r="I65" s="329"/>
      <c r="J65" s="329"/>
      <c r="K65" s="329"/>
      <c r="L65" s="329"/>
      <c r="N65" s="297" t="s">
        <v>853</v>
      </c>
      <c r="O65" s="96">
        <v>2</v>
      </c>
      <c r="P65" s="83">
        <f t="shared" si="17"/>
        <v>4</v>
      </c>
      <c r="Q65" s="83">
        <f>COUNTIFS($O$1:$O65,1)</f>
        <v>10</v>
      </c>
      <c r="R65" s="83">
        <f t="shared" si="16"/>
        <v>2</v>
      </c>
      <c r="S65" s="83"/>
      <c r="T65" s="93" t="str">
        <f t="shared" si="3"/>
        <v>4.10.2.</v>
      </c>
      <c r="U65" s="96"/>
    </row>
    <row r="66" spans="1:21" ht="13.8" x14ac:dyDescent="0.3">
      <c r="A66" s="48" t="str">
        <f t="shared" si="7"/>
        <v>4.10.3.</v>
      </c>
      <c r="B66" s="13" t="s">
        <v>18</v>
      </c>
      <c r="C66" s="14" t="str">
        <f>CONCATENATE("Eur/",C65)</f>
        <v>Eur/val.</v>
      </c>
      <c r="D66" s="367" t="str">
        <f>IFERROR(ROUND(D67/D65,2),"-")</f>
        <v>-</v>
      </c>
      <c r="E66" s="330"/>
      <c r="F66" s="330"/>
      <c r="G66" s="330"/>
      <c r="H66" s="330"/>
      <c r="I66" s="330"/>
      <c r="J66" s="330"/>
      <c r="K66" s="330"/>
      <c r="L66" s="330"/>
      <c r="N66" s="296" t="s">
        <v>855</v>
      </c>
      <c r="O66" s="96">
        <v>2</v>
      </c>
      <c r="P66" s="83">
        <f t="shared" si="17"/>
        <v>4</v>
      </c>
      <c r="Q66" s="83">
        <f>COUNTIFS($O$1:$O66,1)</f>
        <v>10</v>
      </c>
      <c r="R66" s="83">
        <f t="shared" si="16"/>
        <v>3</v>
      </c>
      <c r="S66" s="83"/>
      <c r="T66" s="93" t="str">
        <f t="shared" si="3"/>
        <v>4.10.3.</v>
      </c>
      <c r="U66" s="96"/>
    </row>
    <row r="67" spans="1:21" ht="13.8" x14ac:dyDescent="0.3">
      <c r="A67" s="48" t="str">
        <f t="shared" si="7"/>
        <v>4.10.4.</v>
      </c>
      <c r="B67" s="13" t="s">
        <v>287</v>
      </c>
      <c r="C67" s="14" t="s">
        <v>14</v>
      </c>
      <c r="D67" s="329"/>
      <c r="E67" s="368">
        <f>ROUND(E65*E66,0)</f>
        <v>0</v>
      </c>
      <c r="F67" s="368">
        <f t="shared" ref="F67:L67" si="20">ROUND(F65*F66,0)</f>
        <v>0</v>
      </c>
      <c r="G67" s="368">
        <f t="shared" si="20"/>
        <v>0</v>
      </c>
      <c r="H67" s="368">
        <f t="shared" si="20"/>
        <v>0</v>
      </c>
      <c r="I67" s="368">
        <f t="shared" si="20"/>
        <v>0</v>
      </c>
      <c r="J67" s="368">
        <f t="shared" si="20"/>
        <v>0</v>
      </c>
      <c r="K67" s="368">
        <f t="shared" si="20"/>
        <v>0</v>
      </c>
      <c r="L67" s="368">
        <f t="shared" si="20"/>
        <v>0</v>
      </c>
      <c r="N67" s="296"/>
      <c r="O67" s="96">
        <v>2</v>
      </c>
      <c r="P67" s="83">
        <f t="shared" si="17"/>
        <v>4</v>
      </c>
      <c r="Q67" s="83">
        <f>COUNTIFS($O$1:$O67,1)</f>
        <v>10</v>
      </c>
      <c r="R67" s="83">
        <f t="shared" si="16"/>
        <v>4</v>
      </c>
      <c r="S67" s="83"/>
      <c r="T67" s="93" t="str">
        <f t="shared" si="3"/>
        <v>4.10.4.</v>
      </c>
      <c r="U67" s="96"/>
    </row>
    <row r="68" spans="1:21" ht="30" customHeight="1" thickBot="1" x14ac:dyDescent="0.35">
      <c r="A68" s="99" t="str">
        <f t="shared" si="7"/>
        <v>4.10.5.</v>
      </c>
      <c r="B68" s="97" t="s">
        <v>294</v>
      </c>
      <c r="C68" s="92"/>
      <c r="D68" s="494"/>
      <c r="E68" s="494"/>
      <c r="F68" s="494"/>
      <c r="G68" s="494"/>
      <c r="H68" s="494"/>
      <c r="I68" s="494"/>
      <c r="J68" s="494"/>
      <c r="K68" s="494"/>
      <c r="L68" s="494"/>
      <c r="N68" s="296" t="s">
        <v>856</v>
      </c>
      <c r="O68" s="96">
        <v>2</v>
      </c>
      <c r="P68" s="83">
        <f t="shared" si="17"/>
        <v>4</v>
      </c>
      <c r="Q68" s="83">
        <f>COUNTIFS($O$1:$O68,1)</f>
        <v>10</v>
      </c>
      <c r="R68" s="83">
        <f t="shared" si="16"/>
        <v>5</v>
      </c>
      <c r="S68" s="83"/>
      <c r="T68" s="93" t="str">
        <f t="shared" si="3"/>
        <v>4.10.5.</v>
      </c>
      <c r="U68" s="96"/>
    </row>
    <row r="69" spans="1:21" ht="13.8" x14ac:dyDescent="0.3">
      <c r="A69" s="57" t="str">
        <f t="shared" si="7"/>
        <v>4.11.</v>
      </c>
      <c r="B69" s="188" t="s">
        <v>288</v>
      </c>
      <c r="C69" s="90"/>
      <c r="D69" s="496"/>
      <c r="E69" s="496"/>
      <c r="F69" s="496"/>
      <c r="G69" s="496"/>
      <c r="H69" s="496"/>
      <c r="I69" s="496"/>
      <c r="J69" s="496"/>
      <c r="K69" s="496"/>
      <c r="L69" s="496"/>
      <c r="N69" s="296" t="s">
        <v>857</v>
      </c>
      <c r="O69" s="96">
        <v>1</v>
      </c>
      <c r="P69" s="83">
        <f t="shared" si="17"/>
        <v>4</v>
      </c>
      <c r="Q69" s="83">
        <f>COUNTIFS($O$1:$O69,1)</f>
        <v>11</v>
      </c>
      <c r="R69" s="83" t="str">
        <f t="shared" si="16"/>
        <v/>
      </c>
      <c r="S69" s="83"/>
      <c r="T69" s="93" t="str">
        <f t="shared" si="3"/>
        <v>4.11.</v>
      </c>
      <c r="U69" s="96"/>
    </row>
    <row r="70" spans="1:21" ht="13.8" x14ac:dyDescent="0.3">
      <c r="A70" s="48" t="str">
        <f t="shared" si="7"/>
        <v>4.11.1.</v>
      </c>
      <c r="B70" s="98" t="s">
        <v>285</v>
      </c>
      <c r="C70" s="89"/>
      <c r="D70" s="497"/>
      <c r="E70" s="497"/>
      <c r="F70" s="497"/>
      <c r="G70" s="497"/>
      <c r="H70" s="497"/>
      <c r="I70" s="497"/>
      <c r="J70" s="497"/>
      <c r="K70" s="497"/>
      <c r="L70" s="497"/>
      <c r="N70" s="296" t="s">
        <v>852</v>
      </c>
      <c r="O70" s="96">
        <v>2</v>
      </c>
      <c r="P70" s="83">
        <f t="shared" si="17"/>
        <v>4</v>
      </c>
      <c r="Q70" s="83">
        <f>COUNTIFS($O$1:$O70,1)</f>
        <v>11</v>
      </c>
      <c r="R70" s="83">
        <f t="shared" si="16"/>
        <v>1</v>
      </c>
      <c r="S70" s="83"/>
      <c r="T70" s="93" t="str">
        <f t="shared" si="3"/>
        <v>4.11.1.</v>
      </c>
      <c r="U70" s="96"/>
    </row>
    <row r="71" spans="1:21" ht="13.8" x14ac:dyDescent="0.3">
      <c r="A71" s="48" t="str">
        <f t="shared" si="7"/>
        <v>4.11.2.</v>
      </c>
      <c r="B71" s="13" t="s">
        <v>17</v>
      </c>
      <c r="C71" s="317" t="s">
        <v>177</v>
      </c>
      <c r="D71" s="329"/>
      <c r="E71" s="329"/>
      <c r="F71" s="329"/>
      <c r="G71" s="329"/>
      <c r="H71" s="329"/>
      <c r="I71" s="329"/>
      <c r="J71" s="329"/>
      <c r="K71" s="329"/>
      <c r="L71" s="329"/>
      <c r="N71" s="297" t="s">
        <v>853</v>
      </c>
      <c r="O71" s="96">
        <v>2</v>
      </c>
      <c r="P71" s="83">
        <f t="shared" si="17"/>
        <v>4</v>
      </c>
      <c r="Q71" s="83">
        <f>COUNTIFS($O$1:$O71,1)</f>
        <v>11</v>
      </c>
      <c r="R71" s="83">
        <f t="shared" si="16"/>
        <v>2</v>
      </c>
      <c r="S71" s="83"/>
      <c r="T71" s="93" t="str">
        <f t="shared" ref="T71:T86" si="21">CONCATENATE($P71, ".", $Q71, IF($R71&lt;&gt;"", CONCATENATE(".", $R71), ""), ".")</f>
        <v>4.11.2.</v>
      </c>
      <c r="U71" s="96"/>
    </row>
    <row r="72" spans="1:21" ht="13.8" x14ac:dyDescent="0.3">
      <c r="A72" s="48" t="str">
        <f t="shared" si="7"/>
        <v>4.11.3.</v>
      </c>
      <c r="B72" s="13" t="s">
        <v>18</v>
      </c>
      <c r="C72" s="14" t="str">
        <f>CONCATENATE("Eur/",C71)</f>
        <v>Eur/val.</v>
      </c>
      <c r="D72" s="367" t="str">
        <f>IFERROR(ROUND(D73/D71,2),"-")</f>
        <v>-</v>
      </c>
      <c r="E72" s="330"/>
      <c r="F72" s="330"/>
      <c r="G72" s="330"/>
      <c r="H72" s="330"/>
      <c r="I72" s="330"/>
      <c r="J72" s="330"/>
      <c r="K72" s="330"/>
      <c r="L72" s="330"/>
      <c r="N72" s="296" t="s">
        <v>855</v>
      </c>
      <c r="O72" s="96">
        <v>2</v>
      </c>
      <c r="P72" s="83">
        <f t="shared" si="17"/>
        <v>4</v>
      </c>
      <c r="Q72" s="83">
        <f>COUNTIFS($O$1:$O72,1)</f>
        <v>11</v>
      </c>
      <c r="R72" s="83">
        <f t="shared" si="16"/>
        <v>3</v>
      </c>
      <c r="S72" s="83"/>
      <c r="T72" s="93" t="str">
        <f t="shared" si="21"/>
        <v>4.11.3.</v>
      </c>
      <c r="U72" s="96"/>
    </row>
    <row r="73" spans="1:21" ht="13.8" x14ac:dyDescent="0.3">
      <c r="A73" s="48" t="str">
        <f t="shared" si="7"/>
        <v>4.11.4.</v>
      </c>
      <c r="B73" s="13" t="s">
        <v>287</v>
      </c>
      <c r="C73" s="14" t="s">
        <v>14</v>
      </c>
      <c r="D73" s="329"/>
      <c r="E73" s="368">
        <f>ROUND(E71*E72,0)</f>
        <v>0</v>
      </c>
      <c r="F73" s="368">
        <f t="shared" ref="F73:L73" si="22">ROUND(F71*F72,0)</f>
        <v>0</v>
      </c>
      <c r="G73" s="368">
        <f t="shared" si="22"/>
        <v>0</v>
      </c>
      <c r="H73" s="368">
        <f t="shared" si="22"/>
        <v>0</v>
      </c>
      <c r="I73" s="368">
        <f t="shared" si="22"/>
        <v>0</v>
      </c>
      <c r="J73" s="368">
        <f t="shared" si="22"/>
        <v>0</v>
      </c>
      <c r="K73" s="368">
        <f t="shared" si="22"/>
        <v>0</v>
      </c>
      <c r="L73" s="368">
        <f t="shared" si="22"/>
        <v>0</v>
      </c>
      <c r="N73" s="296"/>
      <c r="O73" s="96">
        <v>2</v>
      </c>
      <c r="P73" s="83">
        <f t="shared" si="17"/>
        <v>4</v>
      </c>
      <c r="Q73" s="83">
        <f>COUNTIFS($O$1:$O73,1)</f>
        <v>11</v>
      </c>
      <c r="R73" s="83">
        <f t="shared" si="16"/>
        <v>4</v>
      </c>
      <c r="S73" s="83"/>
      <c r="T73" s="93" t="str">
        <f t="shared" si="21"/>
        <v>4.11.4.</v>
      </c>
      <c r="U73" s="96"/>
    </row>
    <row r="74" spans="1:21" ht="30" customHeight="1" thickBot="1" x14ac:dyDescent="0.35">
      <c r="A74" s="99" t="str">
        <f t="shared" si="7"/>
        <v>4.11.5.</v>
      </c>
      <c r="B74" s="97" t="s">
        <v>294</v>
      </c>
      <c r="C74" s="92"/>
      <c r="D74" s="494"/>
      <c r="E74" s="494"/>
      <c r="F74" s="494"/>
      <c r="G74" s="494"/>
      <c r="H74" s="494"/>
      <c r="I74" s="494"/>
      <c r="J74" s="494"/>
      <c r="K74" s="494"/>
      <c r="L74" s="494"/>
      <c r="N74" s="296" t="s">
        <v>856</v>
      </c>
      <c r="O74" s="96">
        <v>2</v>
      </c>
      <c r="P74" s="83">
        <f t="shared" si="17"/>
        <v>4</v>
      </c>
      <c r="Q74" s="83">
        <f>COUNTIFS($O$1:$O74,1)</f>
        <v>11</v>
      </c>
      <c r="R74" s="83">
        <f t="shared" si="16"/>
        <v>5</v>
      </c>
      <c r="S74" s="83"/>
      <c r="T74" s="93" t="str">
        <f t="shared" si="21"/>
        <v>4.11.5.</v>
      </c>
      <c r="U74" s="96"/>
    </row>
    <row r="75" spans="1:21" ht="13.8" x14ac:dyDescent="0.3">
      <c r="A75" s="57" t="str">
        <f t="shared" si="7"/>
        <v>4.12.</v>
      </c>
      <c r="B75" s="188" t="s">
        <v>290</v>
      </c>
      <c r="C75" s="90"/>
      <c r="D75" s="496"/>
      <c r="E75" s="496"/>
      <c r="F75" s="496"/>
      <c r="G75" s="496"/>
      <c r="H75" s="496"/>
      <c r="I75" s="496"/>
      <c r="J75" s="496"/>
      <c r="K75" s="496"/>
      <c r="L75" s="496"/>
      <c r="N75" s="296" t="s">
        <v>858</v>
      </c>
      <c r="O75" s="96">
        <v>1</v>
      </c>
      <c r="P75" s="83">
        <f t="shared" si="17"/>
        <v>4</v>
      </c>
      <c r="Q75" s="83">
        <f>COUNTIFS($O$1:$O75,1)</f>
        <v>12</v>
      </c>
      <c r="R75" s="83" t="str">
        <f t="shared" si="16"/>
        <v/>
      </c>
      <c r="S75" s="83"/>
      <c r="T75" s="93" t="str">
        <f t="shared" si="21"/>
        <v>4.12.</v>
      </c>
      <c r="U75" s="96"/>
    </row>
    <row r="76" spans="1:21" ht="13.8" x14ac:dyDescent="0.3">
      <c r="A76" s="48" t="str">
        <f t="shared" ref="A76:A86" si="23">CONCATENATE($P76, ".", $Q76, IF($R76&lt;&gt;"", CONCATENATE(".", $R76), ""), ".")</f>
        <v>4.12.1.</v>
      </c>
      <c r="B76" s="98" t="s">
        <v>285</v>
      </c>
      <c r="C76" s="89"/>
      <c r="D76" s="495"/>
      <c r="E76" s="495"/>
      <c r="F76" s="495"/>
      <c r="G76" s="495"/>
      <c r="H76" s="495"/>
      <c r="I76" s="495"/>
      <c r="J76" s="495"/>
      <c r="K76" s="495"/>
      <c r="L76" s="495"/>
      <c r="N76" s="296" t="s">
        <v>852</v>
      </c>
      <c r="O76" s="96">
        <v>2</v>
      </c>
      <c r="P76" s="83">
        <f t="shared" si="17"/>
        <v>4</v>
      </c>
      <c r="Q76" s="83">
        <f>COUNTIFS($O$1:$O76,1)</f>
        <v>12</v>
      </c>
      <c r="R76" s="83">
        <f t="shared" si="16"/>
        <v>1</v>
      </c>
      <c r="S76" s="83"/>
      <c r="T76" s="93" t="str">
        <f t="shared" si="21"/>
        <v>4.12.1.</v>
      </c>
      <c r="U76" s="96"/>
    </row>
    <row r="77" spans="1:21" ht="13.8" x14ac:dyDescent="0.3">
      <c r="A77" s="48" t="str">
        <f t="shared" si="23"/>
        <v>4.12.2.</v>
      </c>
      <c r="B77" s="22" t="s">
        <v>17</v>
      </c>
      <c r="C77" s="317" t="s">
        <v>19</v>
      </c>
      <c r="D77" s="329"/>
      <c r="E77" s="329"/>
      <c r="F77" s="329"/>
      <c r="G77" s="329"/>
      <c r="H77" s="329"/>
      <c r="I77" s="329"/>
      <c r="J77" s="329"/>
      <c r="K77" s="329"/>
      <c r="L77" s="329"/>
      <c r="N77" s="297" t="s">
        <v>853</v>
      </c>
      <c r="O77" s="96">
        <v>2</v>
      </c>
      <c r="P77" s="83">
        <f t="shared" si="17"/>
        <v>4</v>
      </c>
      <c r="Q77" s="83">
        <f>COUNTIFS($O$1:$O77,1)</f>
        <v>12</v>
      </c>
      <c r="R77" s="83">
        <f t="shared" si="16"/>
        <v>2</v>
      </c>
      <c r="S77" s="83"/>
      <c r="T77" s="93" t="str">
        <f t="shared" si="21"/>
        <v>4.12.2.</v>
      </c>
      <c r="U77" s="96"/>
    </row>
    <row r="78" spans="1:21" ht="13.8" x14ac:dyDescent="0.3">
      <c r="A78" s="48" t="str">
        <f t="shared" si="23"/>
        <v>4.12.3.</v>
      </c>
      <c r="B78" s="22" t="s">
        <v>18</v>
      </c>
      <c r="C78" s="14" t="str">
        <f>CONCATENATE("Eur/",C77)</f>
        <v>Eur/vnt.</v>
      </c>
      <c r="D78" s="367" t="str">
        <f>IFERROR(ROUND(D79/D77,2),"-")</f>
        <v>-</v>
      </c>
      <c r="E78" s="330"/>
      <c r="F78" s="330"/>
      <c r="G78" s="330"/>
      <c r="H78" s="330"/>
      <c r="I78" s="330"/>
      <c r="J78" s="330"/>
      <c r="K78" s="330"/>
      <c r="L78" s="330"/>
      <c r="N78" s="296" t="s">
        <v>855</v>
      </c>
      <c r="O78" s="96">
        <v>2</v>
      </c>
      <c r="P78" s="83">
        <f t="shared" si="17"/>
        <v>4</v>
      </c>
      <c r="Q78" s="83">
        <f>COUNTIFS($O$1:$O78,1)</f>
        <v>12</v>
      </c>
      <c r="R78" s="83">
        <f t="shared" si="16"/>
        <v>3</v>
      </c>
      <c r="S78" s="83"/>
      <c r="T78" s="93" t="str">
        <f t="shared" si="21"/>
        <v>4.12.3.</v>
      </c>
      <c r="U78" s="96"/>
    </row>
    <row r="79" spans="1:21" ht="13.8" x14ac:dyDescent="0.3">
      <c r="A79" s="48" t="str">
        <f t="shared" si="23"/>
        <v>4.12.4.</v>
      </c>
      <c r="B79" s="24" t="s">
        <v>291</v>
      </c>
      <c r="C79" s="45" t="s">
        <v>14</v>
      </c>
      <c r="D79" s="329"/>
      <c r="E79" s="368">
        <f>ROUND(E77*E78,0)</f>
        <v>0</v>
      </c>
      <c r="F79" s="368">
        <f t="shared" ref="F79:L79" si="24">ROUND(F77*F78,0)</f>
        <v>0</v>
      </c>
      <c r="G79" s="368">
        <f t="shared" si="24"/>
        <v>0</v>
      </c>
      <c r="H79" s="368">
        <f t="shared" si="24"/>
        <v>0</v>
      </c>
      <c r="I79" s="368">
        <f t="shared" si="24"/>
        <v>0</v>
      </c>
      <c r="J79" s="368">
        <f t="shared" si="24"/>
        <v>0</v>
      </c>
      <c r="K79" s="368">
        <f t="shared" si="24"/>
        <v>0</v>
      </c>
      <c r="L79" s="368">
        <f t="shared" si="24"/>
        <v>0</v>
      </c>
      <c r="N79" s="296"/>
      <c r="O79" s="96">
        <v>2</v>
      </c>
      <c r="P79" s="83">
        <f t="shared" si="17"/>
        <v>4</v>
      </c>
      <c r="Q79" s="83">
        <f>COUNTIFS($O$1:$O79,1)</f>
        <v>12</v>
      </c>
      <c r="R79" s="83">
        <f t="shared" si="16"/>
        <v>4</v>
      </c>
      <c r="S79" s="83"/>
      <c r="T79" s="93" t="str">
        <f t="shared" si="21"/>
        <v>4.12.4.</v>
      </c>
      <c r="U79" s="96"/>
    </row>
    <row r="80" spans="1:21" ht="30" customHeight="1" thickBot="1" x14ac:dyDescent="0.35">
      <c r="A80" s="99" t="str">
        <f t="shared" si="23"/>
        <v>4.12.5.</v>
      </c>
      <c r="B80" s="91" t="s">
        <v>294</v>
      </c>
      <c r="C80" s="92"/>
      <c r="D80" s="494"/>
      <c r="E80" s="494"/>
      <c r="F80" s="494"/>
      <c r="G80" s="494"/>
      <c r="H80" s="494"/>
      <c r="I80" s="494"/>
      <c r="J80" s="494"/>
      <c r="K80" s="494"/>
      <c r="L80" s="494"/>
      <c r="N80" s="296" t="s">
        <v>856</v>
      </c>
      <c r="O80" s="96">
        <v>2</v>
      </c>
      <c r="P80" s="83">
        <f t="shared" si="17"/>
        <v>4</v>
      </c>
      <c r="Q80" s="83">
        <f>COUNTIFS($O$1:$O80,1)</f>
        <v>12</v>
      </c>
      <c r="R80" s="83">
        <f t="shared" si="16"/>
        <v>5</v>
      </c>
      <c r="S80" s="83"/>
      <c r="T80" s="93" t="str">
        <f t="shared" si="21"/>
        <v>4.12.5.</v>
      </c>
      <c r="U80" s="96"/>
    </row>
    <row r="81" spans="1:21" ht="13.8" x14ac:dyDescent="0.3">
      <c r="A81" s="57" t="str">
        <f t="shared" si="23"/>
        <v>4.13.</v>
      </c>
      <c r="B81" s="188" t="s">
        <v>290</v>
      </c>
      <c r="C81" s="90"/>
      <c r="D81" s="496"/>
      <c r="E81" s="496"/>
      <c r="F81" s="496"/>
      <c r="G81" s="496"/>
      <c r="H81" s="496"/>
      <c r="I81" s="496"/>
      <c r="J81" s="496"/>
      <c r="K81" s="496"/>
      <c r="L81" s="496"/>
      <c r="N81" s="296" t="s">
        <v>858</v>
      </c>
      <c r="O81" s="96">
        <v>1</v>
      </c>
      <c r="P81" s="83">
        <f t="shared" si="17"/>
        <v>4</v>
      </c>
      <c r="Q81" s="83">
        <f>COUNTIFS($O$1:$O81,1)</f>
        <v>13</v>
      </c>
      <c r="R81" s="83" t="str">
        <f t="shared" ref="R81:R86" si="25">IF($O81=$R$1,IF($O81&lt;&gt;$O80, 1, R80+1),"")</f>
        <v/>
      </c>
      <c r="S81" s="83"/>
      <c r="T81" s="93" t="str">
        <f t="shared" si="21"/>
        <v>4.13.</v>
      </c>
      <c r="U81" s="96"/>
    </row>
    <row r="82" spans="1:21" ht="13.8" x14ac:dyDescent="0.3">
      <c r="A82" s="48" t="str">
        <f t="shared" si="23"/>
        <v>4.13.1.</v>
      </c>
      <c r="B82" s="98" t="s">
        <v>285</v>
      </c>
      <c r="C82" s="89"/>
      <c r="D82" s="497"/>
      <c r="E82" s="497"/>
      <c r="F82" s="497"/>
      <c r="G82" s="497"/>
      <c r="H82" s="497"/>
      <c r="I82" s="497"/>
      <c r="J82" s="497"/>
      <c r="K82" s="497"/>
      <c r="L82" s="497"/>
      <c r="N82" s="296" t="s">
        <v>852</v>
      </c>
      <c r="O82" s="96">
        <v>2</v>
      </c>
      <c r="P82" s="83">
        <f t="shared" si="17"/>
        <v>4</v>
      </c>
      <c r="Q82" s="83">
        <f>COUNTIFS($O$1:$O82,1)</f>
        <v>13</v>
      </c>
      <c r="R82" s="83">
        <f t="shared" si="25"/>
        <v>1</v>
      </c>
      <c r="S82" s="83"/>
      <c r="T82" s="93" t="str">
        <f t="shared" si="21"/>
        <v>4.13.1.</v>
      </c>
      <c r="U82" s="96"/>
    </row>
    <row r="83" spans="1:21" ht="13.8" x14ac:dyDescent="0.3">
      <c r="A83" s="48" t="str">
        <f t="shared" si="23"/>
        <v>4.13.2.</v>
      </c>
      <c r="B83" s="22" t="s">
        <v>17</v>
      </c>
      <c r="C83" s="317" t="s">
        <v>298</v>
      </c>
      <c r="D83" s="329"/>
      <c r="E83" s="329"/>
      <c r="F83" s="329"/>
      <c r="G83" s="329"/>
      <c r="H83" s="329"/>
      <c r="I83" s="329"/>
      <c r="J83" s="329"/>
      <c r="K83" s="329"/>
      <c r="L83" s="329"/>
      <c r="N83" s="297" t="s">
        <v>853</v>
      </c>
      <c r="O83" s="96">
        <v>2</v>
      </c>
      <c r="P83" s="83">
        <f t="shared" si="17"/>
        <v>4</v>
      </c>
      <c r="Q83" s="83">
        <f>COUNTIFS($O$1:$O83,1)</f>
        <v>13</v>
      </c>
      <c r="R83" s="83">
        <f t="shared" si="25"/>
        <v>2</v>
      </c>
      <c r="S83" s="83"/>
      <c r="T83" s="93" t="str">
        <f t="shared" si="21"/>
        <v>4.13.2.</v>
      </c>
      <c r="U83" s="96"/>
    </row>
    <row r="84" spans="1:21" ht="13.8" x14ac:dyDescent="0.3">
      <c r="A84" s="48" t="str">
        <f t="shared" si="23"/>
        <v>4.13.3.</v>
      </c>
      <c r="B84" s="22" t="s">
        <v>18</v>
      </c>
      <c r="C84" s="14" t="str">
        <f>CONCATENATE("Eur/",C83)</f>
        <v>Eur/m3</v>
      </c>
      <c r="D84" s="367" t="str">
        <f>IFERROR(ROUND(D85/D83,2),"-")</f>
        <v>-</v>
      </c>
      <c r="E84" s="330"/>
      <c r="F84" s="330"/>
      <c r="G84" s="330"/>
      <c r="H84" s="330"/>
      <c r="I84" s="330"/>
      <c r="J84" s="330"/>
      <c r="K84" s="330"/>
      <c r="L84" s="330"/>
      <c r="N84" s="296" t="s">
        <v>855</v>
      </c>
      <c r="O84" s="96">
        <v>2</v>
      </c>
      <c r="P84" s="83">
        <f t="shared" si="17"/>
        <v>4</v>
      </c>
      <c r="Q84" s="83">
        <f>COUNTIFS($O$1:$O84,1)</f>
        <v>13</v>
      </c>
      <c r="R84" s="83">
        <f t="shared" si="25"/>
        <v>3</v>
      </c>
      <c r="S84" s="83"/>
      <c r="T84" s="93" t="str">
        <f t="shared" si="21"/>
        <v>4.13.3.</v>
      </c>
      <c r="U84" s="96"/>
    </row>
    <row r="85" spans="1:21" ht="13.8" x14ac:dyDescent="0.3">
      <c r="A85" s="48" t="str">
        <f t="shared" si="23"/>
        <v>4.13.4.</v>
      </c>
      <c r="B85" s="24" t="s">
        <v>291</v>
      </c>
      <c r="C85" s="45" t="s">
        <v>14</v>
      </c>
      <c r="D85" s="329"/>
      <c r="E85" s="368">
        <f>ROUND(E83*E84,0)</f>
        <v>0</v>
      </c>
      <c r="F85" s="368">
        <f t="shared" ref="F85:L85" si="26">ROUND(F83*F84,0)</f>
        <v>0</v>
      </c>
      <c r="G85" s="368">
        <f t="shared" si="26"/>
        <v>0</v>
      </c>
      <c r="H85" s="368">
        <f t="shared" si="26"/>
        <v>0</v>
      </c>
      <c r="I85" s="368">
        <f t="shared" si="26"/>
        <v>0</v>
      </c>
      <c r="J85" s="368">
        <f t="shared" si="26"/>
        <v>0</v>
      </c>
      <c r="K85" s="368">
        <f t="shared" si="26"/>
        <v>0</v>
      </c>
      <c r="L85" s="368">
        <f t="shared" si="26"/>
        <v>0</v>
      </c>
      <c r="N85" s="296"/>
      <c r="O85" s="96">
        <v>2</v>
      </c>
      <c r="P85" s="83">
        <f t="shared" si="17"/>
        <v>4</v>
      </c>
      <c r="Q85" s="83">
        <f>COUNTIFS($O$1:$O85,1)</f>
        <v>13</v>
      </c>
      <c r="R85" s="83">
        <f t="shared" si="25"/>
        <v>4</v>
      </c>
      <c r="S85" s="83"/>
      <c r="T85" s="93" t="str">
        <f t="shared" si="21"/>
        <v>4.13.4.</v>
      </c>
      <c r="U85" s="96"/>
    </row>
    <row r="86" spans="1:21" ht="30" customHeight="1" thickBot="1" x14ac:dyDescent="0.35">
      <c r="A86" s="99" t="str">
        <f t="shared" si="23"/>
        <v>4.13.5.</v>
      </c>
      <c r="B86" s="91" t="s">
        <v>294</v>
      </c>
      <c r="C86" s="92"/>
      <c r="D86" s="494"/>
      <c r="E86" s="494"/>
      <c r="F86" s="494"/>
      <c r="G86" s="494"/>
      <c r="H86" s="494"/>
      <c r="I86" s="494"/>
      <c r="J86" s="494"/>
      <c r="K86" s="494"/>
      <c r="L86" s="494"/>
      <c r="N86" s="296" t="s">
        <v>856</v>
      </c>
      <c r="O86" s="96">
        <v>2</v>
      </c>
      <c r="P86" s="83">
        <f t="shared" si="17"/>
        <v>4</v>
      </c>
      <c r="Q86" s="83">
        <f>COUNTIFS($O$1:$O86,1)</f>
        <v>13</v>
      </c>
      <c r="R86" s="83">
        <f t="shared" si="25"/>
        <v>5</v>
      </c>
      <c r="S86" s="83"/>
      <c r="T86" s="93" t="str">
        <f t="shared" si="21"/>
        <v>4.13.5.</v>
      </c>
      <c r="U86" s="96"/>
    </row>
  </sheetData>
  <sheetProtection algorithmName="SHA-512" hashValue="1unPfQeP0ZaAHJb96p0UrkTcmxybmGoumXXT23eodsRAKlZW6g9abiNi4RXJ+izqsl+qodXahM/puu+NmgIjdw==" saltValue="7/JzmSVlDjcQuA+VjJdMLg==" spinCount="100000" sheet="1" objects="1" scenarios="1" formatRows="0"/>
  <mergeCells count="40">
    <mergeCell ref="D16:L16"/>
    <mergeCell ref="D46:L46"/>
    <mergeCell ref="D51:L51"/>
    <mergeCell ref="D52:L52"/>
    <mergeCell ref="D57:L57"/>
    <mergeCell ref="D37:L37"/>
    <mergeCell ref="D44:L44"/>
    <mergeCell ref="D30:L30"/>
    <mergeCell ref="D50:L50"/>
    <mergeCell ref="D56:L56"/>
    <mergeCell ref="D76:L76"/>
    <mergeCell ref="D81:L81"/>
    <mergeCell ref="D82:L82"/>
    <mergeCell ref="D23:L23"/>
    <mergeCell ref="D80:L80"/>
    <mergeCell ref="D62:L62"/>
    <mergeCell ref="D68:L68"/>
    <mergeCell ref="D74:L74"/>
    <mergeCell ref="D58:L58"/>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B2:L2"/>
    <mergeCell ref="A4:B5"/>
    <mergeCell ref="C4:C5"/>
    <mergeCell ref="E4:L4"/>
    <mergeCell ref="D10:L10"/>
  </mergeCells>
  <phoneticPr fontId="12" type="noConversion"/>
  <conditionalFormatting sqref="C12">
    <cfRule type="expression" dxfId="88" priority="6">
      <formula>C12=""</formula>
    </cfRule>
  </conditionalFormatting>
  <conditionalFormatting sqref="D5:L5">
    <cfRule type="expression" dxfId="87" priority="1">
      <formula>D5="-"</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Konstantos!$A$96:$A$101</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4.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Props1.xml><?xml version="1.0" encoding="utf-8"?>
<ds:datastoreItem xmlns:ds="http://schemas.openxmlformats.org/officeDocument/2006/customXml" ds:itemID="{2AEBE1C7-68DB-4AB3-ADB2-CF7F09FF5CE5}">
  <ds:schemaRefs>
    <ds:schemaRef ds:uri="http://schemas.microsoft.com/sharepoint/v3/contenttype/forms"/>
  </ds:schemaRefs>
</ds:datastoreItem>
</file>

<file path=customXml/itemProps2.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customXml/itemProps4.xml><?xml version="1.0" encoding="utf-8"?>
<ds:datastoreItem xmlns:ds="http://schemas.openxmlformats.org/officeDocument/2006/customXml" ds:itemID="{D404DE90-CA94-4EFB-AFDB-61DC99654621}">
  <ds:schemaRefs>
    <ds:schemaRef ds:uri="http://purl.org/dc/elements/1.1/"/>
    <ds:schemaRef ds:uri="http://purl.org/dc/dcmitype/"/>
    <ds:schemaRef ds:uri="http://schemas.microsoft.com/office/2006/documentManagement/types"/>
    <ds:schemaRef ds:uri="e9c60118-e424-4716-b915-e6eeaaa56a10"/>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20</vt:i4>
      </vt:variant>
    </vt:vector>
  </HeadingPairs>
  <TitlesOfParts>
    <vt:vector size="37" baseType="lpstr">
      <vt:lpstr>FA_nvoFormos</vt:lpstr>
      <vt:lpstr>Konstantos</vt:lpstr>
      <vt:lpstr>Forma</vt:lpstr>
      <vt:lpstr>Parametrai</vt:lpstr>
      <vt:lpstr>TURINYS</vt:lpstr>
      <vt:lpstr>Pastabos</vt:lpstr>
      <vt:lpstr>1</vt:lpstr>
      <vt:lpstr>2-3</vt:lpstr>
      <vt:lpstr>4</vt:lpstr>
      <vt:lpstr>5</vt:lpstr>
      <vt:lpstr>6</vt:lpstr>
      <vt:lpstr>7</vt:lpstr>
      <vt:lpstr>8</vt:lpstr>
      <vt:lpstr>9.1_nvo</vt:lpstr>
      <vt:lpstr>9.2_nvo</vt:lpstr>
      <vt:lpstr>9.3_nvo</vt:lpstr>
      <vt:lpstr>10_nvo</vt:lpstr>
      <vt:lpstr>'10_nvo'!Meniu_ParamosIšmokėjimoBūdai</vt:lpstr>
      <vt:lpstr>'9.1_nvo'!Meniu_ParamosIšmokėjimoBūdai</vt:lpstr>
      <vt:lpstr>'9.2_nvo'!Meniu_ParamosIšmokėjimoBūdai</vt:lpstr>
      <vt:lpstr>'9.3_nvo'!Meniu_ParamosIšmokėjimoBūdai</vt:lpstr>
      <vt:lpstr>Meniu_ParamosIšmokėjimoBūdai</vt:lpstr>
      <vt:lpstr>Meniu_TaipNe</vt:lpstr>
      <vt:lpstr>'1'!Print_Area</vt:lpstr>
      <vt:lpstr>'10_nvo'!Print_Area</vt:lpstr>
      <vt:lpstr>'2-3'!Print_Area</vt:lpstr>
      <vt:lpstr>'4'!Print_Area</vt:lpstr>
      <vt:lpstr>'5'!Print_Area</vt:lpstr>
      <vt:lpstr>'6'!Print_Area</vt:lpstr>
      <vt:lpstr>'7'!Print_Area</vt:lpstr>
      <vt:lpstr>'8'!Print_Area</vt:lpstr>
      <vt:lpstr>'9.1_nvo'!Print_Area</vt:lpstr>
      <vt:lpstr>'9.2_nvo'!Print_Area</vt:lpstr>
      <vt:lpstr>'9.3_nvo'!Print_Area</vt:lpstr>
      <vt:lpstr>Parametrai!Print_Area</vt:lpstr>
      <vt:lpstr>Pastabos!Print_Area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petras vysniauskas</cp:lastModifiedBy>
  <cp:lastPrinted>2025-11-25T08:06:06Z</cp:lastPrinted>
  <dcterms:created xsi:type="dcterms:W3CDTF">2023-12-06T11:26:15Z</dcterms:created>
  <dcterms:modified xsi:type="dcterms:W3CDTF">2026-07-28T19:46:09Z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